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88" activeTab="0"/>
  </bookViews>
  <sheets>
    <sheet name="Operating" sheetId="1" r:id="rId1"/>
    <sheet name="Budget" sheetId="2" state="hidden" r:id="rId2"/>
    <sheet name="2013" sheetId="3" state="hidden" r:id="rId3"/>
    <sheet name="Reserve Schedule" sheetId="4" r:id="rId4"/>
  </sheets>
  <externalReferences>
    <externalReference r:id="rId7"/>
  </externalReferences>
  <definedNames>
    <definedName name="_xlnm.Print_Area" localSheetId="1">'Budget'!$A$1:$K$57</definedName>
    <definedName name="_xlnm.Print_Area" localSheetId="0">'Operating'!$A$1:$I$90</definedName>
    <definedName name="_xlnm.Print_Area" localSheetId="3">'Reserve Schedule'!$A$1:$K$85</definedName>
    <definedName name="_xlnm.Print_Titles" localSheetId="3">'Reserve Schedule'!$1:$6</definedName>
  </definedNames>
  <calcPr fullCalcOnLoad="1"/>
</workbook>
</file>

<file path=xl/sharedStrings.xml><?xml version="1.0" encoding="utf-8"?>
<sst xmlns="http://schemas.openxmlformats.org/spreadsheetml/2006/main" count="348" uniqueCount="242">
  <si>
    <t>SUBTOTAL</t>
  </si>
  <si>
    <t>Workout Equipment Repairs</t>
  </si>
  <si>
    <t>SAN SIMEON PHASE ONE RESIDENTS ASSOCIATION, INC.</t>
  </si>
  <si>
    <t>ADMINISTRATIVE EXPENSES</t>
  </si>
  <si>
    <t>Management Fees</t>
  </si>
  <si>
    <t>Office Expenses</t>
  </si>
  <si>
    <t>Legal Fees</t>
  </si>
  <si>
    <t>Contingency</t>
  </si>
  <si>
    <t>Insurance-Common Areas</t>
  </si>
  <si>
    <t>Year End Accounting</t>
  </si>
  <si>
    <t>Bad Debt Exp</t>
  </si>
  <si>
    <t>COMMON AREA MAINTENANCE</t>
  </si>
  <si>
    <t>Landscaping Contract Common Areas</t>
  </si>
  <si>
    <t>Pest Control</t>
  </si>
  <si>
    <t>Irrigation Parts</t>
  </si>
  <si>
    <t>Tree Trimming</t>
  </si>
  <si>
    <t xml:space="preserve">Electric </t>
  </si>
  <si>
    <t>Lake Maintenance</t>
  </si>
  <si>
    <t>Trash Collection</t>
  </si>
  <si>
    <t>Trash Compactor Rental</t>
  </si>
  <si>
    <t>Gate Maintenance &amp; Repairs</t>
  </si>
  <si>
    <t>CLUBHOUSE MAINTENANCE</t>
  </si>
  <si>
    <t>Janitorial Maintenance</t>
  </si>
  <si>
    <t>Water/Sewer - Clubhouse</t>
  </si>
  <si>
    <t>Phone-Clubhouse/Gate</t>
  </si>
  <si>
    <t>Pool &amp; Spa Maint/Clean</t>
  </si>
  <si>
    <t>Pool &amp; Spa Repairs</t>
  </si>
  <si>
    <t>Wetland Monitoring</t>
  </si>
  <si>
    <t>Building Maintenance  and Repair</t>
  </si>
  <si>
    <t>SUBTOTAL OPERATING</t>
  </si>
  <si>
    <t>SUBTOTAL OTHER</t>
  </si>
  <si>
    <t>SUBTOTAL CLUB MAINTENANCE</t>
  </si>
  <si>
    <t>SUBTOTAL COMMON AREA</t>
  </si>
  <si>
    <t>Landscaping Contract-Buildings</t>
  </si>
  <si>
    <t xml:space="preserve"> </t>
  </si>
  <si>
    <t>219 units total (131 "Levitt" and 88 "DR Horton")</t>
  </si>
  <si>
    <t>Approved:</t>
  </si>
  <si>
    <t>____________________________________</t>
  </si>
  <si>
    <t>President</t>
  </si>
  <si>
    <t>Reserve Study</t>
  </si>
  <si>
    <t>Building Maintenance</t>
  </si>
  <si>
    <t>San Simeon Phase 1 Residents Association</t>
  </si>
  <si>
    <t>Clubhouse Cable</t>
  </si>
  <si>
    <t xml:space="preserve">Alarm Monitoring </t>
  </si>
  <si>
    <t xml:space="preserve">OTHER </t>
  </si>
  <si>
    <t>Insurance-Levitt (Property)</t>
  </si>
  <si>
    <t xml:space="preserve">Insurance-Horton (Property) </t>
  </si>
  <si>
    <t>Landscape Replacement-Common Areas</t>
  </si>
  <si>
    <t>Adopted 2014 Budget</t>
  </si>
  <si>
    <t>Projected 12/31/14</t>
  </si>
  <si>
    <t>Proposed Budget 2015</t>
  </si>
  <si>
    <t>Effective January 1, 2014</t>
  </si>
  <si>
    <t>Actual thru 9/30/14</t>
  </si>
  <si>
    <t>Total is for both Horton and Levitt it is not broken out on your financial</t>
  </si>
  <si>
    <t>Draft Proposed Budget for January 1, 2015 thru December 31, 2015</t>
  </si>
  <si>
    <t>Proposed</t>
  </si>
  <si>
    <t>Budget</t>
  </si>
  <si>
    <t>Levitt</t>
  </si>
  <si>
    <t>DR Horton</t>
  </si>
  <si>
    <t>131 Units</t>
  </si>
  <si>
    <t>88 Units</t>
  </si>
  <si>
    <t>Roof Cleaning-Levitt only</t>
  </si>
  <si>
    <t>Roof Cleaning-DR Horton</t>
  </si>
  <si>
    <t>Roof Residential - DR Horton only</t>
  </si>
  <si>
    <t>Roof Residential - Levitt only</t>
  </si>
  <si>
    <t>Painting DR Horton</t>
  </si>
  <si>
    <t>Painting Residential - Levitt only</t>
  </si>
  <si>
    <t>SAN SIMEON RESIDENTS ASSOCIATION, INC.</t>
  </si>
  <si>
    <t>2014 Approved Assessments</t>
  </si>
  <si>
    <t>Line</t>
  </si>
  <si>
    <t>Approved</t>
  </si>
  <si>
    <t>Monthly</t>
  </si>
  <si>
    <t>Item</t>
  </si>
  <si>
    <t>DR Horton    Budget</t>
  </si>
  <si>
    <t>2013(219 Units</t>
  </si>
  <si>
    <t>88 Units 2014(219 Units)</t>
  </si>
  <si>
    <t>A DMINISTRATIVE EXPENSES</t>
  </si>
  <si>
    <t>Insurance-All Res. Buildings</t>
  </si>
  <si>
    <t>Reserve Study</t>
  </si>
  <si>
    <t>Prior Year Surplus(Deficit)</t>
  </si>
  <si>
    <t>Landscaping Contract Commons</t>
  </si>
  <si>
    <t>Landscaping Contract- Buildings</t>
  </si>
  <si>
    <t>Landscape Replacement-Commons</t>
  </si>
  <si>
    <t>Electric</t>
  </si>
  <si>
    <t>Building Maintenance</t>
  </si>
  <si>
    <t>Building Mainteance</t>
  </si>
  <si>
    <t>Clubhouse Cable</t>
  </si>
  <si>
    <t>Workout Equipment</t>
  </si>
  <si>
    <t>OTHER</t>
  </si>
  <si>
    <t>Alarm Monitoring</t>
  </si>
  <si>
    <t>SUBTOTALS</t>
  </si>
  <si>
    <t>RESERVE</t>
  </si>
  <si>
    <t>Common Area</t>
  </si>
  <si>
    <t>Levitt's Building</t>
  </si>
  <si>
    <t>DR Horton Building</t>
  </si>
  <si>
    <t>TOTAL OPERATING</t>
  </si>
  <si>
    <t>TOTAL RESERVE</t>
  </si>
  <si>
    <t>TOTAL EXPENSES</t>
  </si>
  <si>
    <t>MONTHLY</t>
  </si>
  <si>
    <t>Pavement</t>
  </si>
  <si>
    <t>Clubhouse Interiors</t>
  </si>
  <si>
    <t>Clubhouse, AC Air Handler</t>
  </si>
  <si>
    <t>Clubhouse, Kitchen</t>
  </si>
  <si>
    <t>Clubhouse, Restrooms,</t>
  </si>
  <si>
    <t>Clubhouse, Security</t>
  </si>
  <si>
    <t>Clubhouse, Tile Flooring</t>
  </si>
  <si>
    <t>Painting &amp; Waterproofing</t>
  </si>
  <si>
    <t>Recreational Amenities</t>
  </si>
  <si>
    <t>Paint / Waterproof Exteriors, Clubhouse</t>
  </si>
  <si>
    <t>Paint / Waterproof Exteriors, Exterior</t>
  </si>
  <si>
    <t>Concrete Paving Allowance</t>
  </si>
  <si>
    <t>Pool &amp; Spa Decking</t>
  </si>
  <si>
    <t>Pool &amp; Spa Equipment</t>
  </si>
  <si>
    <t>Pool &amp; Spa Interiors</t>
  </si>
  <si>
    <t>Asphalt Overlay</t>
  </si>
  <si>
    <t>Pool / Tot Lot Fencing &amp; Gates</t>
  </si>
  <si>
    <t>Tot Lot</t>
  </si>
  <si>
    <t>Roofing, Compactor Building</t>
  </si>
  <si>
    <t>Access System / Equipment</t>
  </si>
  <si>
    <t>Fencing, Perimeter</t>
  </si>
  <si>
    <t>Gate Operator, Barrier</t>
  </si>
  <si>
    <t>Gate Operator, Swing</t>
  </si>
  <si>
    <t>Lake Fountain / Equipment</t>
  </si>
  <si>
    <t>Lighting, Parking/Entry</t>
  </si>
  <si>
    <t>Roofs</t>
  </si>
  <si>
    <t>Site Improvements</t>
  </si>
  <si>
    <t>Swing Gate</t>
  </si>
  <si>
    <t>Levitt Total</t>
  </si>
  <si>
    <t>Per Unit per month</t>
  </si>
  <si>
    <t>Monthly Contribution</t>
  </si>
  <si>
    <t>Useful Life</t>
  </si>
  <si>
    <t>Unfunded Balance</t>
  </si>
  <si>
    <t>Clubhouse Exercise Room &amp; Equipment</t>
  </si>
  <si>
    <t>Clubhouse Furnishings, Finishes</t>
  </si>
  <si>
    <t>Clubhouse Painting</t>
  </si>
  <si>
    <t>Roofing clubhouse / Compactor Build</t>
  </si>
  <si>
    <t>.</t>
  </si>
  <si>
    <t>REVENUE</t>
  </si>
  <si>
    <t>Regular Assessment Income</t>
  </si>
  <si>
    <t>Application Fees</t>
  </si>
  <si>
    <t>Key Fees</t>
  </si>
  <si>
    <t>Account</t>
  </si>
  <si>
    <t>No.</t>
  </si>
  <si>
    <t>Late Fees &amp; Interest</t>
  </si>
  <si>
    <t>NSF Service Fees</t>
  </si>
  <si>
    <t>Prior Year Surplus/Deficit</t>
  </si>
  <si>
    <t>Working Capital</t>
  </si>
  <si>
    <t>Interest Income</t>
  </si>
  <si>
    <t>Miscellaneous Income</t>
  </si>
  <si>
    <t>Actual</t>
  </si>
  <si>
    <t>Projected</t>
  </si>
  <si>
    <t>Corporate Annual Report</t>
  </si>
  <si>
    <t>Property Insurance</t>
  </si>
  <si>
    <t>Common Areas Insurance</t>
  </si>
  <si>
    <t>Bad Debt Expense</t>
  </si>
  <si>
    <t>INSURANCE</t>
  </si>
  <si>
    <t>Workers Compensation</t>
  </si>
  <si>
    <t>Insurance Appraisal</t>
  </si>
  <si>
    <t>UTILITIES</t>
  </si>
  <si>
    <t>Electricity - Common Areas</t>
  </si>
  <si>
    <t>Water &amp; Sewer</t>
  </si>
  <si>
    <t>Trash Removal</t>
  </si>
  <si>
    <t>Telephone - Clubhouse</t>
  </si>
  <si>
    <t>TOTAL REVENUE</t>
  </si>
  <si>
    <t>TOTAL ADMINISTRATION EXPENSES</t>
  </si>
  <si>
    <t>POOL EXPENSES</t>
  </si>
  <si>
    <t>Pool &amp; Spa Maintenance</t>
  </si>
  <si>
    <t>GENERAL &amp; ADMINISTRATIVE</t>
  </si>
  <si>
    <t>TOTAL INSURANCE EXPENSES</t>
  </si>
  <si>
    <t>TOTAL POOL EXPENSES</t>
  </si>
  <si>
    <t>TOTAL UTILITY EXPENSES</t>
  </si>
  <si>
    <t>CLUBHOUSE EXPENSES</t>
  </si>
  <si>
    <t>Janitorial Supplies &amp; Maintenance</t>
  </si>
  <si>
    <t>TOTAL CLUBHOUSE EXPENSES</t>
  </si>
  <si>
    <t>MAINTENANCE</t>
  </si>
  <si>
    <t>Lake Repair &amp; Maintenance</t>
  </si>
  <si>
    <t xml:space="preserve">Gate Maintenance &amp; Repair </t>
  </si>
  <si>
    <t>Wetland Maintenance</t>
  </si>
  <si>
    <t>TOTAL MAINTENANCE EXPENSES</t>
  </si>
  <si>
    <t>GROUNDS MAINTENANCE</t>
  </si>
  <si>
    <t>Landscape Maintenance</t>
  </si>
  <si>
    <t>Irrigation Maintenance</t>
  </si>
  <si>
    <t>Landscape Enhancement</t>
  </si>
  <si>
    <t>TOTAL GROUNDS MAINTENANCE</t>
  </si>
  <si>
    <t>Fitness Equipment Repair &amp; Maintenance</t>
  </si>
  <si>
    <t>TOTAL OPERATING EXPENSES</t>
  </si>
  <si>
    <t>RESERVE EXPENSES</t>
  </si>
  <si>
    <t>Common Areas</t>
  </si>
  <si>
    <t>DR Horton Buildings</t>
  </si>
  <si>
    <t>Levitt Buildings</t>
  </si>
  <si>
    <t>TOTAL RESERVE EXPENSES</t>
  </si>
  <si>
    <t>Month</t>
  </si>
  <si>
    <t>Per</t>
  </si>
  <si>
    <t>Per Unit</t>
  </si>
  <si>
    <t>Unallocated Interest</t>
  </si>
  <si>
    <t>SAN SIMEON PHASE 1 RESIDENTS' ASSOCIATION, INC.</t>
  </si>
  <si>
    <t>Current Cost</t>
  </si>
  <si>
    <t>Horton Total</t>
  </si>
  <si>
    <t>Common Area Total</t>
  </si>
  <si>
    <t>Levitt Homes</t>
  </si>
  <si>
    <t>Horton Homes</t>
  </si>
  <si>
    <t>TOTAL RESERVE FUNDING</t>
  </si>
  <si>
    <t>Common Area Funding</t>
  </si>
  <si>
    <t>Levitt Painting/Roofing</t>
  </si>
  <si>
    <t>Horton Painting/Roofing</t>
  </si>
  <si>
    <t>Reserve Assessment Income-Common Area</t>
  </si>
  <si>
    <t>Reserve Assessment Income-Levitt Homes</t>
  </si>
  <si>
    <t>Reserve Assessment Income-Horton Homes</t>
  </si>
  <si>
    <t>Monthly Assessment</t>
  </si>
  <si>
    <t>TOTAL RESERVE FUNDING with INTEREST</t>
  </si>
  <si>
    <t>Audit Fees &amp; Tax Return</t>
  </si>
  <si>
    <t>SCHEDULE OF RESERVES FOR CAPITAL EXPENDITURES AND DEFERRED MAINTENANCE</t>
  </si>
  <si>
    <t xml:space="preserve"> </t>
  </si>
  <si>
    <t>Mulch</t>
  </si>
  <si>
    <t>Roof Repair-Levitt only</t>
  </si>
  <si>
    <t>-</t>
  </si>
  <si>
    <t>Pool &amp; Spa Furniture</t>
  </si>
  <si>
    <t>Signage</t>
  </si>
  <si>
    <t>Remaining Life</t>
  </si>
  <si>
    <t>Clubhouse, AC Condenser</t>
  </si>
  <si>
    <t>Asphalt, Sealcoat/Rejuvenation</t>
  </si>
  <si>
    <t>Clubhouse Cable Television</t>
  </si>
  <si>
    <t>12/3/21 Estimate Fund Balance</t>
  </si>
  <si>
    <t>Mold $3408+Commerical package $12231+D&amp;O $2636+Umbrella $2420+group accident $340+ Legal Gap $1376</t>
  </si>
  <si>
    <t>Quarterly fountain $150+Monthly Waterway $117+$3250 fountain motor</t>
  </si>
  <si>
    <t>Budget for January 1, 2023 thru December 31, 2023</t>
  </si>
  <si>
    <t>Effective January 1, 2023</t>
  </si>
  <si>
    <t>2022 Budget</t>
  </si>
  <si>
    <t>2022 Property renewal: $88086</t>
  </si>
  <si>
    <t>General Building Maint</t>
  </si>
  <si>
    <t>Proposed 2023 Budget</t>
  </si>
  <si>
    <t>FOR THE PERIOD:  JANUARY 1, 2023 - DECEMBER 31, 2023</t>
  </si>
  <si>
    <t>2023
Full Reserve</t>
  </si>
  <si>
    <t>2023 Proposed Funding</t>
  </si>
  <si>
    <t>Gate arm</t>
  </si>
  <si>
    <t>Truscape: $18920+JP $5025+ Lee $5200</t>
  </si>
  <si>
    <t>Horton Stucco Reimburse</t>
  </si>
  <si>
    <t>2022-$280.95</t>
  </si>
  <si>
    <t>2022-$216.71</t>
  </si>
  <si>
    <t>$20K is irrigation pump</t>
  </si>
  <si>
    <t>Pool heater and paver reserve</t>
  </si>
  <si>
    <t>2023 Approved Budget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</si>
</sst>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&quot;$&quot;* #,##0_);_(&quot;$&quot;* \(#,##0\);_(&quot;$&quot;* &quot;-&quot;??_);_(@_)"/>
    <numFmt numFmtId="169" formatCode="&quot;$&quot;#,##0.0_);\(&quot;$&quot;#,##0.0\)"/>
    <numFmt numFmtId="170" formatCode="[$-409]dddd\,\ mmmm\ dd\,\ yyyy"/>
    <numFmt numFmtId="171" formatCode="[$-409]h:mm:ss\ AM/PM"/>
    <numFmt numFmtId="172" formatCode="&quot;$&quot;#,##0.00"/>
    <numFmt numFmtId="173" formatCode="_(&quot;$&quot;* #,##0.0_);_(&quot;$&quot;* \(#,##0.0\);_(&quot;$&quot;* &quot;-&quot;??_);_(@_)"/>
    <numFmt numFmtId="174" formatCode="0.0%"/>
    <numFmt numFmtId="175" formatCode="#,##0.000"/>
    <numFmt numFmtId="176" formatCode="#,##0.0000"/>
    <numFmt numFmtId="177" formatCode="#,##0.0"/>
    <numFmt numFmtId="178" formatCode="_(* #,##0.0_);_(* \(#,##0.0\);_(* &quot;-&quot;??_);_(@_)"/>
    <numFmt numFmtId="179" formatCode="_(* #,##0_);_(* \(#,##0\);_(* &quot;-&quot;??_);_(@_)"/>
    <numFmt numFmtId="180" formatCode="[$$-809]#,##0.00"/>
    <numFmt numFmtId="181" formatCode="[$$-809]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0000_);_(&quot;$&quot;* \(#,##0.00000\);_(&quot;$&quot;* &quot;-&quot;??_);_(@_)"/>
    <numFmt numFmtId="189" formatCode="_(&quot;$&quot;* #,##0.000000_);_(&quot;$&quot;* \(#,##0.000000\);_(&quot;$&quot;* &quot;-&quot;??_);_(@_)"/>
  </numFmts>
  <fonts count="57">
    <font>
      <sz val="11"/>
      <color theme="1"/>
      <name val="Calibri"/>
      <family val="3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맑은 고딕"/>
      <family val="3"/>
    </font>
    <font>
      <sz val="11"/>
      <color indexed="8"/>
      <name val="맑은 고딕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entury Gothic"/>
      <family val="2"/>
    </font>
    <font>
      <sz val="11"/>
      <color indexed="10"/>
      <name val="Calibri"/>
      <family val="3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8"/>
      <color indexed="8"/>
      <name val="Arial Bold"/>
      <family val="0"/>
    </font>
    <font>
      <sz val="8"/>
      <color indexed="10"/>
      <name val="Arial"/>
      <family val="2"/>
    </font>
    <font>
      <sz val="10"/>
      <color indexed="8"/>
      <name val="Arial Bold Italic"/>
      <family val="0"/>
    </font>
    <font>
      <sz val="8"/>
      <color indexed="8"/>
      <name val="Arial Bold Italic"/>
      <family val="0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Calibri"/>
      <family val="3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u val="single"/>
      <sz val="11"/>
      <color indexed="20"/>
      <name val="Calibri"/>
      <family val="3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u val="single"/>
      <sz val="11"/>
      <color indexed="12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1"/>
      <color theme="10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32" borderId="7" applyNumberFormat="0" applyFont="0" applyAlignment="0" applyProtection="0"/>
    <xf numFmtId="0" fontId="52" fillId="27" borderId="8" applyNumberFormat="0" applyAlignment="0" applyProtection="0"/>
    <xf numFmtId="9" fontId="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8" fillId="0" borderId="12" xfId="0" applyNumberFormat="1" applyFont="1" applyFill="1" applyBorder="1" applyAlignment="1" applyProtection="1">
      <alignment horizontal="left"/>
      <protection locked="0"/>
    </xf>
    <xf numFmtId="1" fontId="7" fillId="0" borderId="12" xfId="0" applyNumberFormat="1" applyFont="1" applyFill="1" applyBorder="1" applyAlignment="1" applyProtection="1">
      <alignment horizontal="left"/>
      <protection locked="0"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1" fontId="3" fillId="33" borderId="12" xfId="0" applyNumberFormat="1" applyFont="1" applyFill="1" applyBorder="1" applyAlignment="1" applyProtection="1">
      <alignment horizontal="center"/>
      <protection locked="0"/>
    </xf>
    <xf numFmtId="1" fontId="2" fillId="0" borderId="13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" fontId="8" fillId="0" borderId="14" xfId="0" applyNumberFormat="1" applyFont="1" applyFill="1" applyBorder="1" applyAlignment="1" applyProtection="1">
      <alignment horizontal="left"/>
      <protection locked="0"/>
    </xf>
    <xf numFmtId="1" fontId="3" fillId="34" borderId="15" xfId="0" applyNumberFormat="1" applyFont="1" applyFill="1" applyBorder="1" applyAlignment="1" applyProtection="1">
      <alignment horizontal="center"/>
      <protection locked="0"/>
    </xf>
    <xf numFmtId="4" fontId="7" fillId="34" borderId="15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34" borderId="15" xfId="0" applyNumberFormat="1" applyFont="1" applyFill="1" applyBorder="1" applyAlignment="1" applyProtection="1">
      <alignment horizontal="right"/>
      <protection locked="0"/>
    </xf>
    <xf numFmtId="3" fontId="7" fillId="0" borderId="14" xfId="0" applyNumberFormat="1" applyFont="1" applyFill="1" applyBorder="1" applyAlignment="1" applyProtection="1">
      <alignment horizontal="right"/>
      <protection locked="0"/>
    </xf>
    <xf numFmtId="3" fontId="7" fillId="0" borderId="12" xfId="0" applyNumberFormat="1" applyFont="1" applyFill="1" applyBorder="1" applyAlignment="1" applyProtection="1">
      <alignment horizontal="right"/>
      <protection locked="0"/>
    </xf>
    <xf numFmtId="3" fontId="7" fillId="35" borderId="12" xfId="0" applyNumberFormat="1" applyFont="1" applyFill="1" applyBorder="1" applyAlignment="1">
      <alignment/>
    </xf>
    <xf numFmtId="3" fontId="7" fillId="34" borderId="12" xfId="0" applyNumberFormat="1" applyFont="1" applyFill="1" applyBorder="1" applyAlignment="1" applyProtection="1">
      <alignment horizontal="right"/>
      <protection locked="0"/>
    </xf>
    <xf numFmtId="3" fontId="7" fillId="36" borderId="12" xfId="0" applyNumberFormat="1" applyFont="1" applyFill="1" applyBorder="1" applyAlignment="1" applyProtection="1">
      <alignment horizontal="right"/>
      <protection locked="0"/>
    </xf>
    <xf numFmtId="3" fontId="7" fillId="35" borderId="12" xfId="0" applyNumberFormat="1" applyFont="1" applyFill="1" applyBorder="1" applyAlignment="1" applyProtection="1">
      <alignment horizontal="right"/>
      <protection locked="0"/>
    </xf>
    <xf numFmtId="3" fontId="7" fillId="36" borderId="15" xfId="0" applyNumberFormat="1" applyFont="1" applyFill="1" applyBorder="1" applyAlignment="1" applyProtection="1">
      <alignment horizontal="right"/>
      <protection locked="0"/>
    </xf>
    <xf numFmtId="3" fontId="7" fillId="0" borderId="16" xfId="0" applyNumberFormat="1" applyFont="1" applyFill="1" applyBorder="1" applyAlignment="1" applyProtection="1">
      <alignment horizontal="right"/>
      <protection locked="0"/>
    </xf>
    <xf numFmtId="3" fontId="7" fillId="34" borderId="14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7" xfId="0" applyNumberFormat="1" applyFont="1" applyFill="1" applyBorder="1" applyAlignment="1" applyProtection="1">
      <alignment horizontal="right"/>
      <protection locked="0"/>
    </xf>
    <xf numFmtId="3" fontId="7" fillId="0" borderId="18" xfId="0" applyNumberFormat="1" applyFont="1" applyFill="1" applyBorder="1" applyAlignment="1" applyProtection="1">
      <alignment horizontal="right"/>
      <protection locked="0"/>
    </xf>
    <xf numFmtId="3" fontId="7" fillId="0" borderId="18" xfId="0" applyNumberFormat="1" applyFont="1" applyBorder="1" applyAlignment="1">
      <alignment/>
    </xf>
    <xf numFmtId="3" fontId="7" fillId="37" borderId="12" xfId="0" applyNumberFormat="1" applyFont="1" applyFill="1" applyBorder="1" applyAlignment="1" applyProtection="1">
      <alignment horizontal="right"/>
      <protection locked="0"/>
    </xf>
    <xf numFmtId="3" fontId="7" fillId="37" borderId="16" xfId="0" applyNumberFormat="1" applyFont="1" applyFill="1" applyBorder="1" applyAlignment="1" applyProtection="1">
      <alignment horizontal="right"/>
      <protection locked="0"/>
    </xf>
    <xf numFmtId="3" fontId="4" fillId="38" borderId="12" xfId="0" applyNumberFormat="1" applyFont="1" applyFill="1" applyBorder="1" applyAlignment="1" applyProtection="1">
      <alignment horizontal="right"/>
      <protection locked="0"/>
    </xf>
    <xf numFmtId="44" fontId="7" fillId="0" borderId="0" xfId="45" applyFont="1" applyAlignment="1">
      <alignment/>
    </xf>
    <xf numFmtId="44" fontId="1" fillId="0" borderId="18" xfId="45" applyFont="1" applyFill="1" applyBorder="1" applyAlignment="1" applyProtection="1">
      <alignment horizontal="center"/>
      <protection locked="0"/>
    </xf>
    <xf numFmtId="0" fontId="0" fillId="0" borderId="0" xfId="59">
      <alignment/>
      <protection/>
    </xf>
    <xf numFmtId="1" fontId="11" fillId="0" borderId="0" xfId="59" applyNumberFormat="1" applyFont="1">
      <alignment/>
      <protection/>
    </xf>
    <xf numFmtId="49" fontId="11" fillId="0" borderId="0" xfId="59" applyNumberFormat="1" applyFont="1">
      <alignment/>
      <protection/>
    </xf>
    <xf numFmtId="3" fontId="11" fillId="0" borderId="0" xfId="59" applyNumberFormat="1" applyFont="1">
      <alignment/>
      <protection/>
    </xf>
    <xf numFmtId="0" fontId="11" fillId="0" borderId="0" xfId="59" applyFont="1">
      <alignment/>
      <protection/>
    </xf>
    <xf numFmtId="2" fontId="11" fillId="0" borderId="0" xfId="59" applyNumberFormat="1" applyFont="1">
      <alignment/>
      <protection/>
    </xf>
    <xf numFmtId="3" fontId="12" fillId="0" borderId="0" xfId="59" applyNumberFormat="1" applyFont="1">
      <alignment/>
      <protection/>
    </xf>
    <xf numFmtId="0" fontId="13" fillId="0" borderId="0" xfId="59" applyFont="1">
      <alignment/>
      <protection/>
    </xf>
    <xf numFmtId="2" fontId="14" fillId="0" borderId="0" xfId="59" applyNumberFormat="1" applyFont="1">
      <alignment/>
      <protection/>
    </xf>
    <xf numFmtId="4" fontId="11" fillId="0" borderId="0" xfId="59" applyNumberFormat="1" applyFont="1">
      <alignment/>
      <protection/>
    </xf>
    <xf numFmtId="4" fontId="12" fillId="0" borderId="0" xfId="59" applyNumberFormat="1" applyFont="1">
      <alignment/>
      <protection/>
    </xf>
    <xf numFmtId="180" fontId="11" fillId="0" borderId="0" xfId="59" applyNumberFormat="1" applyFont="1">
      <alignment/>
      <protection/>
    </xf>
    <xf numFmtId="181" fontId="11" fillId="0" borderId="0" xfId="59" applyNumberFormat="1" applyFont="1">
      <alignment/>
      <protection/>
    </xf>
    <xf numFmtId="181" fontId="13" fillId="0" borderId="0" xfId="59" applyNumberFormat="1" applyFont="1">
      <alignment/>
      <protection/>
    </xf>
    <xf numFmtId="49" fontId="15" fillId="0" borderId="0" xfId="59" applyNumberFormat="1" applyFont="1" applyAlignment="1">
      <alignment/>
      <protection/>
    </xf>
    <xf numFmtId="49" fontId="11" fillId="0" borderId="0" xfId="59" applyNumberFormat="1" applyFont="1" applyAlignment="1">
      <alignment/>
      <protection/>
    </xf>
    <xf numFmtId="49" fontId="16" fillId="0" borderId="0" xfId="59" applyNumberFormat="1" applyFont="1" applyAlignment="1">
      <alignment/>
      <protection/>
    </xf>
    <xf numFmtId="49" fontId="13" fillId="0" borderId="0" xfId="59" applyNumberFormat="1" applyFont="1" applyAlignment="1">
      <alignment/>
      <protection/>
    </xf>
    <xf numFmtId="44" fontId="1" fillId="0" borderId="0" xfId="45" applyFont="1" applyAlignment="1">
      <alignment/>
    </xf>
    <xf numFmtId="44" fontId="1" fillId="0" borderId="0" xfId="45" applyFont="1" applyAlignment="1">
      <alignment/>
    </xf>
    <xf numFmtId="44" fontId="11" fillId="0" borderId="0" xfId="45" applyFont="1" applyAlignment="1">
      <alignment/>
    </xf>
    <xf numFmtId="44" fontId="12" fillId="0" borderId="0" xfId="45" applyFont="1" applyAlignment="1">
      <alignment/>
    </xf>
    <xf numFmtId="44" fontId="13" fillId="0" borderId="0" xfId="45" applyFont="1" applyAlignment="1">
      <alignment/>
    </xf>
    <xf numFmtId="44" fontId="14" fillId="0" borderId="0" xfId="45" applyFont="1" applyAlignment="1">
      <alignment/>
    </xf>
    <xf numFmtId="44" fontId="1" fillId="0" borderId="19" xfId="45" applyFont="1" applyFill="1" applyBorder="1" applyAlignment="1" applyProtection="1">
      <alignment horizontal="center"/>
      <protection locked="0"/>
    </xf>
    <xf numFmtId="3" fontId="7" fillId="0" borderId="20" xfId="0" applyNumberFormat="1" applyFont="1" applyFill="1" applyBorder="1" applyAlignment="1" applyProtection="1">
      <alignment horizontal="right"/>
      <protection locked="0"/>
    </xf>
    <xf numFmtId="3" fontId="7" fillId="0" borderId="21" xfId="0" applyNumberFormat="1" applyFont="1" applyFill="1" applyBorder="1" applyAlignment="1" applyProtection="1">
      <alignment horizontal="right"/>
      <protection locked="0"/>
    </xf>
    <xf numFmtId="44" fontId="7" fillId="0" borderId="18" xfId="45" applyFont="1" applyBorder="1" applyAlignment="1">
      <alignment/>
    </xf>
    <xf numFmtId="174" fontId="7" fillId="0" borderId="21" xfId="62" applyNumberFormat="1" applyFont="1" applyBorder="1" applyAlignment="1">
      <alignment/>
    </xf>
    <xf numFmtId="174" fontId="7" fillId="0" borderId="19" xfId="62" applyNumberFormat="1" applyFont="1" applyBorder="1" applyAlignment="1">
      <alignment/>
    </xf>
    <xf numFmtId="3" fontId="7" fillId="0" borderId="22" xfId="0" applyNumberFormat="1" applyFont="1" applyFill="1" applyBorder="1" applyAlignment="1" applyProtection="1">
      <alignment horizontal="right"/>
      <protection locked="0"/>
    </xf>
    <xf numFmtId="3" fontId="7" fillId="34" borderId="22" xfId="0" applyNumberFormat="1" applyFont="1" applyFill="1" applyBorder="1" applyAlignment="1" applyProtection="1">
      <alignment horizontal="right"/>
      <protection locked="0"/>
    </xf>
    <xf numFmtId="3" fontId="7" fillId="34" borderId="18" xfId="0" applyNumberFormat="1" applyFont="1" applyFill="1" applyBorder="1" applyAlignment="1" applyProtection="1">
      <alignment horizontal="right"/>
      <protection locked="0"/>
    </xf>
    <xf numFmtId="3" fontId="4" fillId="38" borderId="22" xfId="0" applyNumberFormat="1" applyFont="1" applyFill="1" applyBorder="1" applyAlignment="1" applyProtection="1">
      <alignment horizontal="right"/>
      <protection locked="0"/>
    </xf>
    <xf numFmtId="44" fontId="7" fillId="0" borderId="18" xfId="45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44" fontId="1" fillId="0" borderId="0" xfId="45" applyNumberFormat="1" applyFont="1" applyFill="1" applyAlignment="1">
      <alignment/>
    </xf>
    <xf numFmtId="44" fontId="1" fillId="0" borderId="0" xfId="45" applyNumberFormat="1" applyFont="1" applyFill="1" applyAlignment="1">
      <alignment wrapText="1"/>
    </xf>
    <xf numFmtId="0" fontId="0" fillId="0" borderId="0" xfId="0" applyFill="1" applyAlignment="1">
      <alignment horizontal="center"/>
    </xf>
    <xf numFmtId="44" fontId="0" fillId="0" borderId="0" xfId="0" applyNumberFormat="1" applyFill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2" fillId="0" borderId="11" xfId="0" applyNumberFormat="1" applyFont="1" applyFill="1" applyBorder="1" applyAlignment="1" applyProtection="1">
      <alignment horizontal="center" wrapText="1"/>
      <protection locked="0"/>
    </xf>
    <xf numFmtId="1" fontId="2" fillId="0" borderId="13" xfId="0" applyNumberFormat="1" applyFont="1" applyFill="1" applyBorder="1" applyAlignment="1" applyProtection="1">
      <alignment horizontal="center" wrapText="1"/>
      <protection locked="0"/>
    </xf>
    <xf numFmtId="3" fontId="2" fillId="0" borderId="11" xfId="0" applyNumberFormat="1" applyFont="1" applyFill="1" applyBorder="1" applyAlignment="1" applyProtection="1">
      <alignment horizontal="center" wrapText="1"/>
      <protection locked="0"/>
    </xf>
    <xf numFmtId="3" fontId="2" fillId="0" borderId="13" xfId="0" applyNumberFormat="1" applyFont="1" applyFill="1" applyBorder="1" applyAlignment="1" applyProtection="1">
      <alignment horizontal="center" wrapText="1"/>
      <protection locked="0"/>
    </xf>
    <xf numFmtId="1" fontId="7" fillId="0" borderId="14" xfId="0" applyNumberFormat="1" applyFont="1" applyFill="1" applyBorder="1" applyAlignment="1" applyProtection="1">
      <alignment horizontal="left"/>
      <protection locked="0"/>
    </xf>
    <xf numFmtId="4" fontId="7" fillId="0" borderId="23" xfId="0" applyNumberFormat="1" applyFont="1" applyFill="1" applyBorder="1" applyAlignment="1" applyProtection="1">
      <alignment horizontal="right"/>
      <protection locked="0"/>
    </xf>
    <xf numFmtId="1" fontId="7" fillId="0" borderId="12" xfId="0" applyNumberFormat="1" applyFont="1" applyFill="1" applyBorder="1" applyAlignment="1" applyProtection="1">
      <alignment horizontal="right"/>
      <protection locked="0"/>
    </xf>
    <xf numFmtId="1" fontId="7" fillId="0" borderId="12" xfId="0" applyNumberFormat="1" applyFont="1" applyFill="1" applyBorder="1" applyAlignment="1">
      <alignment/>
    </xf>
    <xf numFmtId="14" fontId="2" fillId="0" borderId="11" xfId="0" applyNumberFormat="1" applyFont="1" applyFill="1" applyBorder="1" applyAlignment="1" applyProtection="1">
      <alignment horizontal="center" wrapText="1"/>
      <protection locked="0"/>
    </xf>
    <xf numFmtId="14" fontId="2" fillId="0" borderId="13" xfId="0" applyNumberFormat="1" applyFont="1" applyFill="1" applyBorder="1" applyAlignment="1" applyProtection="1">
      <alignment horizontal="center" wrapText="1"/>
      <protection locked="0"/>
    </xf>
    <xf numFmtId="4" fontId="7" fillId="0" borderId="21" xfId="0" applyNumberFormat="1" applyFont="1" applyFill="1" applyBorder="1" applyAlignment="1" applyProtection="1">
      <alignment horizontal="right"/>
      <protection locked="0"/>
    </xf>
    <xf numFmtId="4" fontId="7" fillId="0" borderId="21" xfId="45" applyNumberFormat="1" applyFont="1" applyBorder="1" applyAlignment="1">
      <alignment/>
    </xf>
    <xf numFmtId="4" fontId="7" fillId="0" borderId="18" xfId="45" applyNumberFormat="1" applyFont="1" applyBorder="1" applyAlignment="1">
      <alignment/>
    </xf>
    <xf numFmtId="4" fontId="7" fillId="0" borderId="21" xfId="62" applyNumberFormat="1" applyFont="1" applyBorder="1" applyAlignment="1">
      <alignment/>
    </xf>
    <xf numFmtId="4" fontId="7" fillId="0" borderId="19" xfId="62" applyNumberFormat="1" applyFont="1" applyBorder="1" applyAlignment="1">
      <alignment/>
    </xf>
    <xf numFmtId="4" fontId="7" fillId="0" borderId="18" xfId="0" applyNumberFormat="1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" fontId="8" fillId="0" borderId="12" xfId="0" applyNumberFormat="1" applyFont="1" applyFill="1" applyBorder="1" applyAlignment="1" applyProtection="1">
      <alignment horizontal="right"/>
      <protection locked="0"/>
    </xf>
    <xf numFmtId="3" fontId="8" fillId="0" borderId="22" xfId="0" applyNumberFormat="1" applyFont="1" applyFill="1" applyBorder="1" applyAlignment="1" applyProtection="1">
      <alignment horizontal="right"/>
      <protection locked="0"/>
    </xf>
    <xf numFmtId="4" fontId="8" fillId="0" borderId="22" xfId="0" applyNumberFormat="1" applyFont="1" applyFill="1" applyBorder="1" applyAlignment="1" applyProtection="1">
      <alignment horizontal="right"/>
      <protection locked="0"/>
    </xf>
    <xf numFmtId="3" fontId="8" fillId="0" borderId="18" xfId="0" applyNumberFormat="1" applyFont="1" applyFill="1" applyBorder="1" applyAlignment="1" applyProtection="1">
      <alignment horizontal="right"/>
      <protection locked="0"/>
    </xf>
    <xf numFmtId="1" fontId="8" fillId="0" borderId="12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8" fillId="0" borderId="18" xfId="0" applyNumberFormat="1" applyFont="1" applyFill="1" applyBorder="1" applyAlignment="1" applyProtection="1">
      <alignment horizontal="right"/>
      <protection locked="0"/>
    </xf>
    <xf numFmtId="4" fontId="7" fillId="0" borderId="24" xfId="0" applyNumberFormat="1" applyFont="1" applyFill="1" applyBorder="1" applyAlignment="1" applyProtection="1">
      <alignment horizontal="right"/>
      <protection locked="0"/>
    </xf>
    <xf numFmtId="44" fontId="18" fillId="0" borderId="18" xfId="45" applyFont="1" applyFill="1" applyBorder="1" applyAlignment="1">
      <alignment/>
    </xf>
    <xf numFmtId="4" fontId="7" fillId="34" borderId="18" xfId="0" applyNumberFormat="1" applyFont="1" applyFill="1" applyBorder="1" applyAlignment="1" applyProtection="1">
      <alignment horizontal="right"/>
      <protection locked="0"/>
    </xf>
    <xf numFmtId="44" fontId="4" fillId="0" borderId="18" xfId="45" applyFont="1" applyFill="1" applyBorder="1" applyAlignment="1">
      <alignment/>
    </xf>
    <xf numFmtId="44" fontId="17" fillId="0" borderId="13" xfId="45" applyFont="1" applyFill="1" applyBorder="1" applyAlignment="1" applyProtection="1">
      <alignment horizontal="center"/>
      <protection locked="0"/>
    </xf>
    <xf numFmtId="44" fontId="17" fillId="0" borderId="11" xfId="45" applyFont="1" applyFill="1" applyBorder="1" applyAlignment="1" applyProtection="1">
      <alignment horizontal="center"/>
      <protection locked="0"/>
    </xf>
    <xf numFmtId="44" fontId="17" fillId="0" borderId="25" xfId="45" applyFont="1" applyFill="1" applyBorder="1" applyAlignment="1" applyProtection="1">
      <alignment horizontal="center"/>
      <protection locked="0"/>
    </xf>
    <xf numFmtId="44" fontId="17" fillId="0" borderId="26" xfId="45" applyFont="1" applyFill="1" applyBorder="1" applyAlignment="1" applyProtection="1">
      <alignment horizontal="center"/>
      <protection locked="0"/>
    </xf>
    <xf numFmtId="44" fontId="17" fillId="0" borderId="24" xfId="45" applyFont="1" applyFill="1" applyBorder="1" applyAlignment="1" applyProtection="1">
      <alignment horizontal="center"/>
      <protection locked="0"/>
    </xf>
    <xf numFmtId="44" fontId="17" fillId="0" borderId="19" xfId="45" applyFont="1" applyFill="1" applyBorder="1" applyAlignment="1" applyProtection="1">
      <alignment horizontal="center"/>
      <protection locked="0"/>
    </xf>
    <xf numFmtId="39" fontId="7" fillId="0" borderId="18" xfId="45" applyNumberFormat="1" applyFont="1" applyBorder="1" applyAlignment="1">
      <alignment/>
    </xf>
    <xf numFmtId="39" fontId="7" fillId="0" borderId="19" xfId="45" applyNumberFormat="1" applyFont="1" applyBorder="1" applyAlignment="1">
      <alignment/>
    </xf>
    <xf numFmtId="39" fontId="8" fillId="0" borderId="22" xfId="0" applyNumberFormat="1" applyFont="1" applyFill="1" applyBorder="1" applyAlignment="1" applyProtection="1">
      <alignment horizontal="right"/>
      <protection locked="0"/>
    </xf>
    <xf numFmtId="39" fontId="7" fillId="34" borderId="18" xfId="0" applyNumberFormat="1" applyFont="1" applyFill="1" applyBorder="1" applyAlignment="1" applyProtection="1">
      <alignment horizontal="right"/>
      <protection locked="0"/>
    </xf>
    <xf numFmtId="39" fontId="8" fillId="0" borderId="22" xfId="0" applyNumberFormat="1" applyFont="1" applyFill="1" applyBorder="1" applyAlignment="1">
      <alignment/>
    </xf>
    <xf numFmtId="39" fontId="8" fillId="0" borderId="18" xfId="0" applyNumberFormat="1" applyFont="1" applyFill="1" applyBorder="1" applyAlignment="1" applyProtection="1">
      <alignment horizontal="right"/>
      <protection locked="0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44" fontId="1" fillId="0" borderId="0" xfId="45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44" fontId="17" fillId="0" borderId="0" xfId="45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44" fontId="17" fillId="0" borderId="0" xfId="45" applyNumberFormat="1" applyFont="1" applyFill="1" applyBorder="1" applyAlignment="1">
      <alignment/>
    </xf>
    <xf numFmtId="44" fontId="1" fillId="0" borderId="0" xfId="45" applyNumberFormat="1" applyFont="1" applyFill="1" applyBorder="1" applyAlignment="1">
      <alignment/>
    </xf>
    <xf numFmtId="44" fontId="1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4" fontId="1" fillId="0" borderId="0" xfId="45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44" fontId="1" fillId="0" borderId="0" xfId="45" applyNumberFormat="1" applyFont="1" applyFill="1" applyAlignment="1">
      <alignment horizontal="center" wrapText="1"/>
    </xf>
    <xf numFmtId="4" fontId="7" fillId="0" borderId="27" xfId="0" applyNumberFormat="1" applyFont="1" applyFill="1" applyBorder="1" applyAlignment="1" applyProtection="1">
      <alignment horizontal="right"/>
      <protection locked="0"/>
    </xf>
    <xf numFmtId="3" fontId="7" fillId="34" borderId="19" xfId="0" applyNumberFormat="1" applyFont="1" applyFill="1" applyBorder="1" applyAlignment="1" applyProtection="1">
      <alignment horizontal="right"/>
      <protection locked="0"/>
    </xf>
    <xf numFmtId="39" fontId="8" fillId="0" borderId="12" xfId="0" applyNumberFormat="1" applyFont="1" applyFill="1" applyBorder="1" applyAlignment="1" applyProtection="1">
      <alignment horizontal="right"/>
      <protection locked="0"/>
    </xf>
    <xf numFmtId="39" fontId="7" fillId="34" borderId="19" xfId="0" applyNumberFormat="1" applyFont="1" applyFill="1" applyBorder="1" applyAlignment="1" applyProtection="1">
      <alignment horizontal="right"/>
      <protection locked="0"/>
    </xf>
    <xf numFmtId="39" fontId="8" fillId="0" borderId="12" xfId="0" applyNumberFormat="1" applyFont="1" applyFill="1" applyBorder="1" applyAlignment="1">
      <alignment/>
    </xf>
    <xf numFmtId="39" fontId="8" fillId="0" borderId="19" xfId="0" applyNumberFormat="1" applyFont="1" applyFill="1" applyBorder="1" applyAlignment="1" applyProtection="1">
      <alignment horizontal="right"/>
      <protection locked="0"/>
    </xf>
    <xf numFmtId="4" fontId="8" fillId="0" borderId="19" xfId="0" applyNumberFormat="1" applyFont="1" applyFill="1" applyBorder="1" applyAlignment="1" applyProtection="1">
      <alignment horizontal="right"/>
      <protection locked="0"/>
    </xf>
    <xf numFmtId="1" fontId="7" fillId="0" borderId="28" xfId="0" applyNumberFormat="1" applyFont="1" applyFill="1" applyBorder="1" applyAlignment="1" applyProtection="1">
      <alignment horizontal="right"/>
      <protection locked="0"/>
    </xf>
    <xf numFmtId="3" fontId="8" fillId="0" borderId="29" xfId="0" applyNumberFormat="1" applyFont="1" applyFill="1" applyBorder="1" applyAlignment="1" applyProtection="1">
      <alignment horizontal="right"/>
      <protection locked="0"/>
    </xf>
    <xf numFmtId="4" fontId="8" fillId="0" borderId="30" xfId="0" applyNumberFormat="1" applyFont="1" applyFill="1" applyBorder="1" applyAlignment="1" applyProtection="1">
      <alignment horizontal="right"/>
      <protection locked="0"/>
    </xf>
    <xf numFmtId="39" fontId="8" fillId="0" borderId="31" xfId="0" applyNumberFormat="1" applyFont="1" applyFill="1" applyBorder="1" applyAlignment="1" applyProtection="1">
      <alignment horizontal="right"/>
      <protection locked="0"/>
    </xf>
    <xf numFmtId="4" fontId="7" fillId="0" borderId="18" xfId="45" applyNumberFormat="1" applyFont="1" applyFill="1" applyBorder="1" applyAlignment="1">
      <alignment/>
    </xf>
    <xf numFmtId="4" fontId="7" fillId="0" borderId="21" xfId="62" applyNumberFormat="1" applyFont="1" applyFill="1" applyBorder="1" applyAlignment="1">
      <alignment/>
    </xf>
    <xf numFmtId="4" fontId="7" fillId="0" borderId="27" xfId="62" applyNumberFormat="1" applyFont="1" applyFill="1" applyBorder="1" applyAlignment="1">
      <alignment/>
    </xf>
    <xf numFmtId="44" fontId="10" fillId="0" borderId="0" xfId="45" applyNumberFormat="1" applyFont="1" applyFill="1" applyAlignment="1">
      <alignment horizontal="center" wrapText="1"/>
    </xf>
    <xf numFmtId="44" fontId="10" fillId="0" borderId="0" xfId="45" applyNumberFormat="1" applyFont="1" applyFill="1" applyAlignment="1">
      <alignment wrapText="1"/>
    </xf>
    <xf numFmtId="44" fontId="10" fillId="0" borderId="0" xfId="45" applyNumberFormat="1" applyFont="1" applyFill="1" applyAlignment="1">
      <alignment/>
    </xf>
    <xf numFmtId="44" fontId="7" fillId="0" borderId="0" xfId="45" applyFont="1" applyFill="1" applyAlignment="1">
      <alignment/>
    </xf>
    <xf numFmtId="44" fontId="7" fillId="0" borderId="21" xfId="45" applyFont="1" applyFill="1" applyBorder="1" applyAlignment="1">
      <alignment/>
    </xf>
    <xf numFmtId="4" fontId="7" fillId="0" borderId="21" xfId="45" applyNumberFormat="1" applyFont="1" applyFill="1" applyBorder="1" applyAlignment="1">
      <alignment/>
    </xf>
    <xf numFmtId="3" fontId="7" fillId="0" borderId="24" xfId="0" applyNumberFormat="1" applyFont="1" applyBorder="1" applyAlignment="1">
      <alignment/>
    </xf>
    <xf numFmtId="4" fontId="4" fillId="0" borderId="18" xfId="0" applyNumberFormat="1" applyFont="1" applyFill="1" applyBorder="1" applyAlignment="1" applyProtection="1">
      <alignment horizontal="right"/>
      <protection locked="0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3" fontId="4" fillId="0" borderId="18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28" xfId="0" applyNumberFormat="1" applyFont="1" applyFill="1" applyBorder="1" applyAlignment="1" applyProtection="1">
      <alignment horizontal="center"/>
      <protection locked="0"/>
    </xf>
    <xf numFmtId="4" fontId="56" fillId="0" borderId="21" xfId="45" applyNumberFormat="1" applyFont="1" applyFill="1" applyBorder="1" applyAlignment="1">
      <alignment/>
    </xf>
    <xf numFmtId="4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0" fillId="0" borderId="0" xfId="0" applyFont="1" applyFill="1" applyAlignment="1">
      <alignment/>
    </xf>
    <xf numFmtId="44" fontId="20" fillId="0" borderId="0" xfId="45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44" fontId="20" fillId="0" borderId="0" xfId="45" applyFont="1" applyAlignment="1">
      <alignment/>
    </xf>
    <xf numFmtId="44" fontId="20" fillId="0" borderId="0" xfId="45" applyNumberFormat="1" applyFont="1" applyFill="1" applyAlignment="1">
      <alignment/>
    </xf>
    <xf numFmtId="44" fontId="20" fillId="0" borderId="0" xfId="0" applyNumberFormat="1" applyFont="1" applyFill="1" applyAlignment="1">
      <alignment/>
    </xf>
    <xf numFmtId="44" fontId="20" fillId="0" borderId="32" xfId="45" applyFont="1" applyFill="1" applyBorder="1" applyAlignment="1">
      <alignment vertical="center" wrapText="1"/>
    </xf>
    <xf numFmtId="0" fontId="20" fillId="0" borderId="32" xfId="0" applyFont="1" applyFill="1" applyBorder="1" applyAlignment="1">
      <alignment horizontal="center"/>
    </xf>
    <xf numFmtId="44" fontId="20" fillId="0" borderId="32" xfId="45" applyNumberFormat="1" applyFont="1" applyFill="1" applyBorder="1" applyAlignment="1">
      <alignment/>
    </xf>
    <xf numFmtId="44" fontId="20" fillId="0" borderId="32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44" fontId="21" fillId="0" borderId="0" xfId="45" applyFont="1" applyFill="1" applyAlignment="1">
      <alignment vertical="center" wrapText="1"/>
    </xf>
    <xf numFmtId="0" fontId="21" fillId="0" borderId="0" xfId="0" applyFont="1" applyFill="1" applyAlignment="1">
      <alignment horizontal="center"/>
    </xf>
    <xf numFmtId="44" fontId="21" fillId="0" borderId="0" xfId="45" applyNumberFormat="1" applyFont="1" applyFill="1" applyAlignment="1">
      <alignment/>
    </xf>
    <xf numFmtId="44" fontId="21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0" fillId="0" borderId="0" xfId="0" applyNumberFormat="1" applyFont="1" applyFill="1" applyAlignment="1" quotePrefix="1">
      <alignment horizontal="center"/>
    </xf>
    <xf numFmtId="0" fontId="20" fillId="0" borderId="0" xfId="0" applyNumberFormat="1" applyFont="1" applyFill="1" applyAlignment="1">
      <alignment horizontal="center"/>
    </xf>
    <xf numFmtId="0" fontId="20" fillId="0" borderId="32" xfId="0" applyFont="1" applyFill="1" applyBorder="1" applyAlignment="1" quotePrefix="1">
      <alignment horizontal="center"/>
    </xf>
    <xf numFmtId="168" fontId="20" fillId="0" borderId="0" xfId="45" applyNumberFormat="1" applyFont="1" applyFill="1" applyAlignment="1">
      <alignment vertical="center" wrapText="1"/>
    </xf>
    <xf numFmtId="168" fontId="20" fillId="0" borderId="32" xfId="45" applyNumberFormat="1" applyFont="1" applyFill="1" applyBorder="1" applyAlignment="1">
      <alignment vertical="center" wrapText="1"/>
    </xf>
    <xf numFmtId="0" fontId="20" fillId="0" borderId="32" xfId="0" applyFont="1" applyFill="1" applyBorder="1" applyAlignment="1">
      <alignment horizontal="center"/>
    </xf>
    <xf numFmtId="44" fontId="20" fillId="0" borderId="0" xfId="0" applyNumberFormat="1" applyFont="1" applyFill="1" applyAlignment="1">
      <alignment/>
    </xf>
    <xf numFmtId="44" fontId="20" fillId="0" borderId="32" xfId="0" applyNumberFormat="1" applyFont="1" applyFill="1" applyBorder="1" applyAlignment="1">
      <alignment/>
    </xf>
    <xf numFmtId="4" fontId="7" fillId="0" borderId="21" xfId="0" applyNumberFormat="1" applyFont="1" applyBorder="1" applyAlignment="1" applyProtection="1">
      <alignment horizontal="right"/>
      <protection locked="0"/>
    </xf>
    <xf numFmtId="4" fontId="8" fillId="0" borderId="18" xfId="0" applyNumberFormat="1" applyFont="1" applyBorder="1" applyAlignment="1" applyProtection="1">
      <alignment horizontal="right"/>
      <protection locked="0"/>
    </xf>
    <xf numFmtId="39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4" fontId="56" fillId="0" borderId="18" xfId="45" applyFont="1" applyFill="1" applyBorder="1" applyAlignment="1">
      <alignment/>
    </xf>
    <xf numFmtId="168" fontId="55" fillId="0" borderId="0" xfId="45" applyNumberFormat="1" applyFont="1" applyFill="1" applyAlignment="1">
      <alignment vertical="center" wrapText="1"/>
    </xf>
    <xf numFmtId="44" fontId="55" fillId="0" borderId="0" xfId="45" applyFont="1" applyFill="1" applyAlignment="1">
      <alignment vertical="center" wrapText="1"/>
    </xf>
    <xf numFmtId="44" fontId="55" fillId="0" borderId="32" xfId="45" applyFont="1" applyFill="1" applyBorder="1" applyAlignment="1">
      <alignment vertical="center" wrapText="1"/>
    </xf>
    <xf numFmtId="44" fontId="7" fillId="0" borderId="0" xfId="0" applyNumberFormat="1" applyFont="1" applyAlignment="1">
      <alignment/>
    </xf>
    <xf numFmtId="3" fontId="2" fillId="0" borderId="33" xfId="0" applyNumberFormat="1" applyFont="1" applyFill="1" applyBorder="1" applyAlignment="1" applyProtection="1">
      <alignment horizontal="center" wrapText="1"/>
      <protection locked="0"/>
    </xf>
    <xf numFmtId="3" fontId="2" fillId="0" borderId="34" xfId="0" applyNumberFormat="1" applyFont="1" applyFill="1" applyBorder="1" applyAlignment="1" applyProtection="1">
      <alignment horizontal="center" wrapText="1"/>
      <protection locked="0"/>
    </xf>
    <xf numFmtId="39" fontId="8" fillId="0" borderId="35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39" fontId="8" fillId="0" borderId="36" xfId="0" applyNumberFormat="1" applyFon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3" fontId="2" fillId="0" borderId="11" xfId="0" applyNumberFormat="1" applyFont="1" applyFill="1" applyBorder="1" applyAlignment="1" applyProtection="1">
      <alignment horizontal="center" wrapText="1"/>
      <protection locked="0"/>
    </xf>
    <xf numFmtId="3" fontId="2" fillId="0" borderId="13" xfId="0" applyNumberFormat="1" applyFont="1" applyFill="1" applyBorder="1" applyAlignment="1" applyProtection="1">
      <alignment horizontal="center" wrapText="1"/>
      <protection locked="0"/>
    </xf>
    <xf numFmtId="1" fontId="2" fillId="0" borderId="11" xfId="0" applyNumberFormat="1" applyFont="1" applyFill="1" applyBorder="1" applyAlignment="1" applyProtection="1">
      <alignment horizontal="center" wrapText="1"/>
      <protection locked="0"/>
    </xf>
    <xf numFmtId="1" fontId="2" fillId="0" borderId="13" xfId="0" applyNumberFormat="1" applyFont="1" applyFill="1" applyBorder="1" applyAlignment="1" applyProtection="1">
      <alignment horizont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Budget"/>
      <sheetName val="Budget"/>
      <sheetName val="2013"/>
      <sheetName val="Reserve Schedule"/>
    </sheetNames>
    <sheetDataSet>
      <sheetData sheetId="3">
        <row r="10">
          <cell r="F10">
            <v>20383.2559708647</v>
          </cell>
          <cell r="I10">
            <v>3283.914676378434</v>
          </cell>
        </row>
        <row r="11">
          <cell r="F11">
            <v>28006.212034074168</v>
          </cell>
          <cell r="I11">
            <v>1421.797994320972</v>
          </cell>
        </row>
        <row r="12">
          <cell r="F12">
            <v>4440.03234368839</v>
          </cell>
          <cell r="I12">
            <v>588.796765631161</v>
          </cell>
        </row>
        <row r="13">
          <cell r="F13">
            <v>13378.312510116419</v>
          </cell>
          <cell r="I13">
            <v>3408.137497976716</v>
          </cell>
        </row>
        <row r="14">
          <cell r="F14">
            <v>4969.67943327315</v>
          </cell>
          <cell r="I14">
            <v>953.0641133453701</v>
          </cell>
        </row>
        <row r="15">
          <cell r="F15">
            <v>10697.73814687999</v>
          </cell>
          <cell r="I15">
            <v>319.0523706240019</v>
          </cell>
        </row>
        <row r="24">
          <cell r="F24">
            <v>62819</v>
          </cell>
          <cell r="I24">
            <v>3836.090909090909</v>
          </cell>
        </row>
        <row r="26">
          <cell r="F26">
            <v>14572</v>
          </cell>
          <cell r="I26">
            <v>2714</v>
          </cell>
        </row>
        <row r="30">
          <cell r="F30">
            <v>14838</v>
          </cell>
          <cell r="I30">
            <v>2202.222222222222</v>
          </cell>
        </row>
        <row r="33">
          <cell r="F33">
            <v>31385</v>
          </cell>
          <cell r="I33">
            <v>13615</v>
          </cell>
        </row>
        <row r="34">
          <cell r="F34">
            <v>8784</v>
          </cell>
          <cell r="I34">
            <v>1805.2222222222222</v>
          </cell>
        </row>
        <row r="39">
          <cell r="F39">
            <v>32334</v>
          </cell>
          <cell r="I39">
            <v>154.6</v>
          </cell>
        </row>
        <row r="40">
          <cell r="F40">
            <v>2575.58</v>
          </cell>
          <cell r="I40">
            <v>129.642</v>
          </cell>
        </row>
        <row r="44">
          <cell r="F44">
            <v>4881</v>
          </cell>
          <cell r="I44">
            <v>1202.3333333333333</v>
          </cell>
        </row>
        <row r="45">
          <cell r="F45">
            <v>21828</v>
          </cell>
          <cell r="I45">
            <v>4278.333333333333</v>
          </cell>
        </row>
        <row r="46">
          <cell r="F46">
            <v>14063</v>
          </cell>
          <cell r="I46">
            <v>3617</v>
          </cell>
        </row>
        <row r="47">
          <cell r="F47">
            <v>9185</v>
          </cell>
          <cell r="I47">
            <v>1753</v>
          </cell>
        </row>
        <row r="48">
          <cell r="F48">
            <v>2765</v>
          </cell>
          <cell r="I48">
            <v>517</v>
          </cell>
        </row>
        <row r="49">
          <cell r="F49">
            <v>11206</v>
          </cell>
          <cell r="I49">
            <v>2922.1111111111113</v>
          </cell>
        </row>
        <row r="51">
          <cell r="F51">
            <v>14731</v>
          </cell>
          <cell r="I51">
            <v>5039.363636363636</v>
          </cell>
        </row>
        <row r="58">
          <cell r="F58">
            <v>16613</v>
          </cell>
          <cell r="I58">
            <v>3628.3333333333335</v>
          </cell>
        </row>
        <row r="60">
          <cell r="F60">
            <v>777488</v>
          </cell>
          <cell r="I60">
            <v>165276.48</v>
          </cell>
        </row>
        <row r="66">
          <cell r="F66">
            <v>293536</v>
          </cell>
          <cell r="I66">
            <v>45619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zoomScale="92" zoomScaleNormal="92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7" sqref="F7"/>
    </sheetView>
  </sheetViews>
  <sheetFormatPr defaultColWidth="9.140625" defaultRowHeight="15"/>
  <cols>
    <col min="1" max="1" width="40.57421875" style="5" customWidth="1"/>
    <col min="2" max="2" width="8.421875" style="5" hidden="1" customWidth="1"/>
    <col min="3" max="3" width="13.57421875" style="36" customWidth="1"/>
    <col min="4" max="4" width="14.7109375" style="36" customWidth="1"/>
    <col min="5" max="5" width="13.7109375" style="36" customWidth="1"/>
    <col min="6" max="6" width="15.28125" style="43" customWidth="1"/>
    <col min="7" max="7" width="15.421875" style="43" customWidth="1"/>
    <col min="8" max="8" width="13.00390625" style="43" customWidth="1"/>
    <col min="9" max="9" width="12.421875" style="43" customWidth="1"/>
    <col min="10" max="10" width="9.140625" style="5" customWidth="1"/>
    <col min="11" max="11" width="10.421875" style="5" bestFit="1" customWidth="1"/>
    <col min="12" max="16384" width="9.140625" style="5" customWidth="1"/>
  </cols>
  <sheetData>
    <row r="1" spans="1:6" ht="12.75">
      <c r="A1" s="3" t="s">
        <v>2</v>
      </c>
      <c r="B1" s="4"/>
      <c r="C1" s="23"/>
      <c r="D1" s="23"/>
      <c r="E1" s="23"/>
      <c r="F1" s="159"/>
    </row>
    <row r="2" spans="1:6" ht="12.75">
      <c r="A2" s="8" t="s">
        <v>225</v>
      </c>
      <c r="B2" s="4"/>
      <c r="C2" s="23"/>
      <c r="D2" s="23"/>
      <c r="E2" s="23"/>
      <c r="F2" s="159"/>
    </row>
    <row r="3" spans="1:6" ht="12.75">
      <c r="A3" s="8" t="s">
        <v>35</v>
      </c>
      <c r="B3" s="4"/>
      <c r="C3" s="23"/>
      <c r="D3" s="23"/>
      <c r="E3" s="23"/>
      <c r="F3" s="159"/>
    </row>
    <row r="4" spans="1:6" ht="13.5" thickBot="1">
      <c r="A4" s="8"/>
      <c r="B4" s="4"/>
      <c r="C4" s="23"/>
      <c r="D4" s="23"/>
      <c r="E4" s="23"/>
      <c r="F4" s="159"/>
    </row>
    <row r="5" spans="1:9" s="2" customFormat="1" ht="25.5" customHeight="1">
      <c r="A5" s="11" t="s">
        <v>226</v>
      </c>
      <c r="B5" s="88" t="s">
        <v>141</v>
      </c>
      <c r="C5" s="90" t="s">
        <v>227</v>
      </c>
      <c r="D5" s="96" t="s">
        <v>149</v>
      </c>
      <c r="E5" s="90" t="s">
        <v>150</v>
      </c>
      <c r="F5" s="208" t="s">
        <v>241</v>
      </c>
      <c r="G5" s="118" t="s">
        <v>192</v>
      </c>
      <c r="H5" s="119" t="s">
        <v>193</v>
      </c>
      <c r="I5" s="120" t="s">
        <v>193</v>
      </c>
    </row>
    <row r="6" spans="1:9" s="2" customFormat="1" ht="15" thickBot="1">
      <c r="A6" s="16"/>
      <c r="B6" s="89" t="s">
        <v>142</v>
      </c>
      <c r="C6" s="91"/>
      <c r="D6" s="97">
        <v>44834</v>
      </c>
      <c r="E6" s="97">
        <v>44926</v>
      </c>
      <c r="F6" s="209">
        <v>2015</v>
      </c>
      <c r="G6" s="117" t="s">
        <v>191</v>
      </c>
      <c r="H6" s="121" t="s">
        <v>57</v>
      </c>
      <c r="I6" s="122" t="s">
        <v>58</v>
      </c>
    </row>
    <row r="7" spans="1:9" ht="15" thickBot="1">
      <c r="A7" s="20"/>
      <c r="B7" s="21"/>
      <c r="C7" s="24"/>
      <c r="D7" s="24"/>
      <c r="E7" s="24"/>
      <c r="F7" s="24"/>
      <c r="G7" s="24"/>
      <c r="H7" s="44" t="s">
        <v>59</v>
      </c>
      <c r="I7" s="69" t="s">
        <v>60</v>
      </c>
    </row>
    <row r="8" spans="1:9" ht="12.75">
      <c r="A8" s="19" t="s">
        <v>137</v>
      </c>
      <c r="B8" s="93"/>
      <c r="C8" s="70"/>
      <c r="D8" s="71"/>
      <c r="E8" s="71"/>
      <c r="F8" s="160"/>
      <c r="G8" s="72"/>
      <c r="H8" s="73"/>
      <c r="I8" s="74"/>
    </row>
    <row r="9" spans="1:9" ht="12.75">
      <c r="A9" s="92" t="s">
        <v>138</v>
      </c>
      <c r="B9" s="94">
        <v>6310</v>
      </c>
      <c r="C9" s="99">
        <v>402219.33999999997</v>
      </c>
      <c r="D9" s="99">
        <f>301662+201213</f>
        <v>502875</v>
      </c>
      <c r="E9" s="103">
        <f>D9/9*12</f>
        <v>670500</v>
      </c>
      <c r="F9" s="161">
        <f>F76-F17</f>
        <v>526550</v>
      </c>
      <c r="G9" s="100">
        <f>F9/12</f>
        <v>43879.166666666664</v>
      </c>
      <c r="H9" s="101">
        <f>G9/219</f>
        <v>200.3614916286149</v>
      </c>
      <c r="I9" s="102">
        <f>G9/219</f>
        <v>200.3614916286149</v>
      </c>
    </row>
    <row r="10" spans="1:9" ht="12.75">
      <c r="A10" s="92" t="s">
        <v>205</v>
      </c>
      <c r="B10" s="94">
        <v>6320</v>
      </c>
      <c r="C10" s="70">
        <v>53760.682185953425</v>
      </c>
      <c r="D10" s="99" t="s">
        <v>212</v>
      </c>
      <c r="E10" s="103" t="s">
        <v>212</v>
      </c>
      <c r="F10" s="161">
        <f>F80</f>
        <v>46149.34572615483</v>
      </c>
      <c r="G10" s="100">
        <f>F10/12</f>
        <v>3845.7788105129025</v>
      </c>
      <c r="H10" s="101">
        <f>G10/219</f>
        <v>17.56063383795846</v>
      </c>
      <c r="I10" s="102">
        <f>G10/219</f>
        <v>17.56063383795846</v>
      </c>
    </row>
    <row r="11" spans="1:9" ht="12.75">
      <c r="A11" s="92" t="s">
        <v>206</v>
      </c>
      <c r="B11" s="94">
        <v>6320</v>
      </c>
      <c r="C11" s="70">
        <v>168904.81333333335</v>
      </c>
      <c r="D11" s="99" t="s">
        <v>212</v>
      </c>
      <c r="E11" s="103" t="s">
        <v>212</v>
      </c>
      <c r="F11" s="161">
        <f>+F81</f>
        <v>209575.09333333338</v>
      </c>
      <c r="G11" s="100">
        <f>F11/12</f>
        <v>17464.591111111116</v>
      </c>
      <c r="H11" s="101">
        <f>+G11/131</f>
        <v>133.3174893977948</v>
      </c>
      <c r="I11" s="102">
        <v>0</v>
      </c>
    </row>
    <row r="12" spans="1:9" ht="12.75">
      <c r="A12" s="92" t="s">
        <v>207</v>
      </c>
      <c r="B12" s="94">
        <v>6320</v>
      </c>
      <c r="C12" s="70">
        <v>45619</v>
      </c>
      <c r="D12" s="99" t="s">
        <v>212</v>
      </c>
      <c r="E12" s="103" t="s">
        <v>212</v>
      </c>
      <c r="F12" s="161">
        <f>+F82</f>
        <v>67767.8125</v>
      </c>
      <c r="G12" s="100">
        <f>F12/12</f>
        <v>5647.317708333333</v>
      </c>
      <c r="H12" s="101">
        <v>0</v>
      </c>
      <c r="I12" s="102">
        <f>G12/88</f>
        <v>64.17406486742424</v>
      </c>
    </row>
    <row r="13" spans="1:9" ht="12.75">
      <c r="A13" s="92" t="s">
        <v>139</v>
      </c>
      <c r="B13" s="94">
        <v>6330</v>
      </c>
      <c r="C13" s="70"/>
      <c r="D13" s="98">
        <v>625</v>
      </c>
      <c r="E13" s="103">
        <v>525</v>
      </c>
      <c r="F13" s="161"/>
      <c r="G13" s="100"/>
      <c r="H13" s="101"/>
      <c r="I13" s="102"/>
    </row>
    <row r="14" spans="1:9" ht="12.75" hidden="1">
      <c r="A14" s="92" t="s">
        <v>140</v>
      </c>
      <c r="B14" s="94">
        <v>6331</v>
      </c>
      <c r="C14" s="70"/>
      <c r="D14" s="98">
        <v>0</v>
      </c>
      <c r="E14" s="103">
        <f>D14/8*12</f>
        <v>0</v>
      </c>
      <c r="F14" s="161"/>
      <c r="G14" s="100"/>
      <c r="H14" s="101"/>
      <c r="I14" s="102"/>
    </row>
    <row r="15" spans="1:9" ht="12.75">
      <c r="A15" s="92" t="s">
        <v>143</v>
      </c>
      <c r="B15" s="94">
        <v>6340</v>
      </c>
      <c r="C15" s="70"/>
      <c r="D15" s="98">
        <v>1918</v>
      </c>
      <c r="E15" s="103">
        <f>D15/9*12</f>
        <v>2557.3333333333335</v>
      </c>
      <c r="F15" s="161"/>
      <c r="G15" s="100"/>
      <c r="H15" s="101"/>
      <c r="I15" s="102"/>
    </row>
    <row r="16" spans="1:9" ht="12.75">
      <c r="A16" s="92" t="s">
        <v>144</v>
      </c>
      <c r="B16" s="94">
        <v>6345</v>
      </c>
      <c r="C16" s="70"/>
      <c r="D16" s="98">
        <v>60</v>
      </c>
      <c r="E16" s="103">
        <f>D16/9*12</f>
        <v>80</v>
      </c>
      <c r="F16" s="161"/>
      <c r="G16" s="100"/>
      <c r="H16" s="101"/>
      <c r="I16" s="102"/>
    </row>
    <row r="17" spans="1:9" ht="12.75">
      <c r="A17" s="92" t="s">
        <v>145</v>
      </c>
      <c r="B17" s="94">
        <v>6810</v>
      </c>
      <c r="C17" s="70">
        <v>0</v>
      </c>
      <c r="D17" s="99">
        <v>0</v>
      </c>
      <c r="E17" s="103">
        <v>30000</v>
      </c>
      <c r="F17" s="168">
        <v>0</v>
      </c>
      <c r="G17" s="153">
        <f>F17/12</f>
        <v>0</v>
      </c>
      <c r="H17" s="154">
        <f>G17/219</f>
        <v>0</v>
      </c>
      <c r="I17" s="155">
        <f>G17/219</f>
        <v>0</v>
      </c>
    </row>
    <row r="18" spans="1:9" ht="12.75">
      <c r="A18" s="92" t="s">
        <v>146</v>
      </c>
      <c r="B18" s="94">
        <v>6905</v>
      </c>
      <c r="C18" s="70"/>
      <c r="D18" s="98">
        <v>8524</v>
      </c>
      <c r="E18" s="103">
        <v>10000</v>
      </c>
      <c r="F18" s="161"/>
      <c r="G18" s="100"/>
      <c r="H18" s="101"/>
      <c r="I18" s="102"/>
    </row>
    <row r="19" spans="1:9" ht="12.75">
      <c r="A19" s="92" t="s">
        <v>147</v>
      </c>
      <c r="B19" s="94">
        <v>6910</v>
      </c>
      <c r="C19" s="70"/>
      <c r="D19" s="98">
        <v>7</v>
      </c>
      <c r="E19" s="103">
        <f>D19/9*12</f>
        <v>9.333333333333334</v>
      </c>
      <c r="F19" s="161"/>
      <c r="G19" s="100"/>
      <c r="H19" s="101"/>
      <c r="I19" s="102"/>
    </row>
    <row r="20" spans="1:9" ht="12.75">
      <c r="A20" s="92" t="s">
        <v>148</v>
      </c>
      <c r="B20" s="94">
        <v>6920</v>
      </c>
      <c r="C20" s="70"/>
      <c r="D20" s="98">
        <v>2907</v>
      </c>
      <c r="E20" s="103">
        <v>1000</v>
      </c>
      <c r="F20" s="161"/>
      <c r="G20" s="100"/>
      <c r="H20" s="101"/>
      <c r="I20" s="102"/>
    </row>
    <row r="21" spans="1:9" ht="13.5" thickBot="1">
      <c r="A21" s="104" t="s">
        <v>163</v>
      </c>
      <c r="B21" s="94"/>
      <c r="C21" s="199">
        <v>670503.8355192868</v>
      </c>
      <c r="D21" s="98">
        <f aca="true" t="shared" si="0" ref="D21:I21">SUM(D9:D20)</f>
        <v>516916</v>
      </c>
      <c r="E21" s="98">
        <f t="shared" si="0"/>
        <v>714671.6666666667</v>
      </c>
      <c r="F21" s="98">
        <f t="shared" si="0"/>
        <v>850042.2515594882</v>
      </c>
      <c r="G21" s="98">
        <f t="shared" si="0"/>
        <v>70836.854296624</v>
      </c>
      <c r="H21" s="98">
        <f t="shared" si="0"/>
        <v>351.23961486436815</v>
      </c>
      <c r="I21" s="142">
        <f t="shared" si="0"/>
        <v>282.0961903339976</v>
      </c>
    </row>
    <row r="22" spans="1:9" ht="13.5" thickBot="1">
      <c r="A22" s="15"/>
      <c r="B22" s="94"/>
      <c r="C22" s="76"/>
      <c r="D22" s="77"/>
      <c r="E22" s="24"/>
      <c r="F22" s="24"/>
      <c r="G22" s="77"/>
      <c r="H22" s="77"/>
      <c r="I22" s="143"/>
    </row>
    <row r="23" spans="1:9" ht="12.75">
      <c r="A23" s="19" t="s">
        <v>167</v>
      </c>
      <c r="B23" s="94"/>
      <c r="C23" s="70"/>
      <c r="D23" s="71"/>
      <c r="E23" s="71"/>
      <c r="F23" s="160"/>
      <c r="G23" s="72"/>
      <c r="H23" s="73"/>
      <c r="I23" s="74"/>
    </row>
    <row r="24" spans="1:9" ht="12.75">
      <c r="A24" s="13" t="s">
        <v>4</v>
      </c>
      <c r="B24" s="94">
        <v>7010</v>
      </c>
      <c r="C24" s="75">
        <v>20979.04</v>
      </c>
      <c r="D24" s="103">
        <v>15734</v>
      </c>
      <c r="E24" s="103">
        <f>D24/9*12</f>
        <v>20978.666666666664</v>
      </c>
      <c r="F24" s="79">
        <f>10*219*12</f>
        <v>26280</v>
      </c>
      <c r="G24" s="123">
        <f>F24/12</f>
        <v>2190</v>
      </c>
      <c r="H24" s="123">
        <f>G24/219</f>
        <v>10</v>
      </c>
      <c r="I24" s="124">
        <f>G24/219</f>
        <v>10</v>
      </c>
    </row>
    <row r="25" spans="1:9" ht="12.75">
      <c r="A25" s="13" t="s">
        <v>210</v>
      </c>
      <c r="B25" s="94">
        <v>7140</v>
      </c>
      <c r="C25" s="75">
        <v>200</v>
      </c>
      <c r="D25" s="103">
        <v>250</v>
      </c>
      <c r="E25" s="103">
        <v>210</v>
      </c>
      <c r="F25" s="79">
        <v>300</v>
      </c>
      <c r="G25" s="123">
        <f aca="true" t="shared" si="1" ref="G25:G30">F25/12</f>
        <v>25</v>
      </c>
      <c r="H25" s="123">
        <f>G25/219</f>
        <v>0.1141552511415525</v>
      </c>
      <c r="I25" s="124">
        <f aca="true" t="shared" si="2" ref="I25:I31">G25/219</f>
        <v>0.1141552511415525</v>
      </c>
    </row>
    <row r="26" spans="1:9" ht="12.75">
      <c r="A26" s="13" t="s">
        <v>6</v>
      </c>
      <c r="B26" s="94">
        <v>7160</v>
      </c>
      <c r="C26" s="75">
        <v>4000</v>
      </c>
      <c r="D26" s="103">
        <f>2106-250</f>
        <v>1856</v>
      </c>
      <c r="E26" s="161">
        <f>D26/9*12</f>
        <v>2474.666666666667</v>
      </c>
      <c r="F26" s="116">
        <v>4000</v>
      </c>
      <c r="G26" s="123">
        <f t="shared" si="1"/>
        <v>333.3333333333333</v>
      </c>
      <c r="H26" s="123">
        <f aca="true" t="shared" si="3" ref="H26:H31">G26/219</f>
        <v>1.5220700152207</v>
      </c>
      <c r="I26" s="124">
        <f t="shared" si="2"/>
        <v>1.5220700152207</v>
      </c>
    </row>
    <row r="27" spans="1:9" ht="12.75">
      <c r="A27" s="13" t="s">
        <v>5</v>
      </c>
      <c r="B27" s="94">
        <v>7320</v>
      </c>
      <c r="C27" s="75">
        <v>3000</v>
      </c>
      <c r="D27" s="103">
        <f>500+1770+110+60</f>
        <v>2440</v>
      </c>
      <c r="E27" s="161">
        <f>D27/9*12</f>
        <v>3253.333333333333</v>
      </c>
      <c r="F27" s="79">
        <v>3500</v>
      </c>
      <c r="G27" s="123">
        <f t="shared" si="1"/>
        <v>291.6666666666667</v>
      </c>
      <c r="H27" s="123">
        <f t="shared" si="3"/>
        <v>1.3318112633181127</v>
      </c>
      <c r="I27" s="124">
        <f t="shared" si="2"/>
        <v>1.3318112633181127</v>
      </c>
    </row>
    <row r="28" spans="1:9" ht="12.75">
      <c r="A28" s="13" t="s">
        <v>151</v>
      </c>
      <c r="B28" s="94">
        <v>7410</v>
      </c>
      <c r="C28" s="75">
        <v>150</v>
      </c>
      <c r="D28" s="103">
        <v>150</v>
      </c>
      <c r="E28" s="103">
        <v>61.25</v>
      </c>
      <c r="F28" s="79">
        <v>150</v>
      </c>
      <c r="G28" s="123">
        <f t="shared" si="1"/>
        <v>12.5</v>
      </c>
      <c r="H28" s="123">
        <f t="shared" si="3"/>
        <v>0.05707762557077625</v>
      </c>
      <c r="I28" s="124">
        <f t="shared" si="2"/>
        <v>0.05707762557077625</v>
      </c>
    </row>
    <row r="29" spans="1:9" ht="12.75">
      <c r="A29" s="13" t="s">
        <v>39</v>
      </c>
      <c r="B29" s="94">
        <v>7500</v>
      </c>
      <c r="C29" s="75"/>
      <c r="D29" s="103"/>
      <c r="E29" s="103">
        <v>0</v>
      </c>
      <c r="F29" s="114"/>
      <c r="G29" s="123">
        <f t="shared" si="1"/>
        <v>0</v>
      </c>
      <c r="H29" s="123">
        <f t="shared" si="3"/>
        <v>0</v>
      </c>
      <c r="I29" s="124">
        <f t="shared" si="2"/>
        <v>0</v>
      </c>
    </row>
    <row r="30" spans="1:9" ht="12.75">
      <c r="A30" s="13" t="s">
        <v>157</v>
      </c>
      <c r="B30" s="94">
        <v>7550</v>
      </c>
      <c r="C30" s="75">
        <v>0</v>
      </c>
      <c r="D30" s="103">
        <v>0</v>
      </c>
      <c r="E30" s="103">
        <v>2850</v>
      </c>
      <c r="F30" s="116">
        <v>0</v>
      </c>
      <c r="G30" s="123">
        <f t="shared" si="1"/>
        <v>0</v>
      </c>
      <c r="H30" s="123">
        <f t="shared" si="3"/>
        <v>0</v>
      </c>
      <c r="I30" s="124">
        <f t="shared" si="2"/>
        <v>0</v>
      </c>
    </row>
    <row r="31" spans="1:9" ht="12.75">
      <c r="A31" s="13" t="s">
        <v>154</v>
      </c>
      <c r="B31" s="94">
        <v>7600</v>
      </c>
      <c r="C31" s="75"/>
      <c r="D31" s="103">
        <v>0</v>
      </c>
      <c r="E31" s="103">
        <v>210</v>
      </c>
      <c r="F31" s="114"/>
      <c r="G31" s="123"/>
      <c r="H31" s="123">
        <f t="shared" si="3"/>
        <v>0</v>
      </c>
      <c r="I31" s="124">
        <f t="shared" si="2"/>
        <v>0</v>
      </c>
    </row>
    <row r="32" spans="1:9" ht="13.5" thickBot="1">
      <c r="A32" s="104" t="s">
        <v>164</v>
      </c>
      <c r="B32" s="105"/>
      <c r="C32" s="106">
        <v>28329.04</v>
      </c>
      <c r="D32" s="107">
        <f aca="true" t="shared" si="4" ref="D32:I32">SUM(D24:D31)</f>
        <v>20430</v>
      </c>
      <c r="E32" s="107">
        <f t="shared" si="4"/>
        <v>30037.916666666664</v>
      </c>
      <c r="F32" s="107">
        <f t="shared" si="4"/>
        <v>34230</v>
      </c>
      <c r="G32" s="125">
        <f t="shared" si="4"/>
        <v>2852.5</v>
      </c>
      <c r="H32" s="125">
        <f t="shared" si="4"/>
        <v>13.025114155251142</v>
      </c>
      <c r="I32" s="144">
        <f t="shared" si="4"/>
        <v>13.025114155251142</v>
      </c>
    </row>
    <row r="33" spans="1:9" ht="13.5" thickBot="1">
      <c r="A33" s="15"/>
      <c r="B33" s="94"/>
      <c r="C33" s="76"/>
      <c r="D33" s="77"/>
      <c r="E33" s="24"/>
      <c r="F33" s="24"/>
      <c r="G33" s="126"/>
      <c r="H33" s="126"/>
      <c r="I33" s="145"/>
    </row>
    <row r="34" spans="1:9" ht="12.75">
      <c r="A34" s="19" t="s">
        <v>155</v>
      </c>
      <c r="B34" s="94"/>
      <c r="C34" s="75"/>
      <c r="D34" s="38"/>
      <c r="E34" s="38"/>
      <c r="F34" s="114"/>
      <c r="G34" s="123"/>
      <c r="H34" s="123"/>
      <c r="I34" s="124"/>
    </row>
    <row r="35" spans="1:10" ht="12.75">
      <c r="A35" s="13" t="s">
        <v>152</v>
      </c>
      <c r="B35" s="94">
        <v>7710</v>
      </c>
      <c r="C35" s="75">
        <v>126415.3</v>
      </c>
      <c r="D35" s="103">
        <v>92493</v>
      </c>
      <c r="E35" s="161">
        <v>159979</v>
      </c>
      <c r="F35" s="79">
        <v>190000</v>
      </c>
      <c r="G35" s="123">
        <f>F35/12</f>
        <v>15833.333333333334</v>
      </c>
      <c r="H35" s="123">
        <f>G35/219</f>
        <v>72.29832572298326</v>
      </c>
      <c r="I35" s="124">
        <f>G35/219</f>
        <v>72.29832572298326</v>
      </c>
      <c r="J35" s="5" t="s">
        <v>228</v>
      </c>
    </row>
    <row r="36" spans="1:10" ht="12.75">
      <c r="A36" s="13" t="s">
        <v>153</v>
      </c>
      <c r="B36" s="94">
        <v>7720</v>
      </c>
      <c r="C36" s="75">
        <v>24000</v>
      </c>
      <c r="D36" s="103">
        <v>9171</v>
      </c>
      <c r="E36" s="161">
        <f>13498+3215+4979</f>
        <v>21692</v>
      </c>
      <c r="F36" s="79">
        <v>24000</v>
      </c>
      <c r="G36" s="123">
        <f>F36/12</f>
        <v>2000</v>
      </c>
      <c r="H36" s="123">
        <f>G36/219</f>
        <v>9.132420091324201</v>
      </c>
      <c r="I36" s="124">
        <f>G36/219</f>
        <v>9.132420091324201</v>
      </c>
      <c r="J36" s="5" t="s">
        <v>223</v>
      </c>
    </row>
    <row r="37" spans="1:9" ht="12.75">
      <c r="A37" s="13" t="s">
        <v>156</v>
      </c>
      <c r="B37" s="94">
        <v>7750</v>
      </c>
      <c r="C37" s="75">
        <v>700</v>
      </c>
      <c r="D37" s="103">
        <v>3789</v>
      </c>
      <c r="E37" s="161">
        <v>599</v>
      </c>
      <c r="F37" s="79">
        <v>700</v>
      </c>
      <c r="G37" s="123">
        <f>F37/12</f>
        <v>58.333333333333336</v>
      </c>
      <c r="H37" s="123">
        <f>G37/219</f>
        <v>0.2663622526636225</v>
      </c>
      <c r="I37" s="124">
        <f>G37/219</f>
        <v>0.2663622526636225</v>
      </c>
    </row>
    <row r="38" spans="1:11" ht="13.5" thickBot="1">
      <c r="A38" s="104" t="s">
        <v>168</v>
      </c>
      <c r="B38" s="109"/>
      <c r="C38" s="110">
        <v>151115.3</v>
      </c>
      <c r="D38" s="111">
        <f aca="true" t="shared" si="5" ref="D38:I38">SUM(D35:D37)</f>
        <v>105453</v>
      </c>
      <c r="E38" s="111">
        <f t="shared" si="5"/>
        <v>182270</v>
      </c>
      <c r="F38" s="111">
        <f t="shared" si="5"/>
        <v>214700</v>
      </c>
      <c r="G38" s="127">
        <f t="shared" si="5"/>
        <v>17891.666666666668</v>
      </c>
      <c r="H38" s="127">
        <f t="shared" si="5"/>
        <v>81.6971080669711</v>
      </c>
      <c r="I38" s="146">
        <f t="shared" si="5"/>
        <v>81.6971080669711</v>
      </c>
      <c r="K38" s="170">
        <f>F38-C38</f>
        <v>63584.70000000001</v>
      </c>
    </row>
    <row r="39" spans="1:9" ht="13.5" thickBot="1">
      <c r="A39" s="15"/>
      <c r="B39" s="94"/>
      <c r="C39" s="76"/>
      <c r="D39" s="77"/>
      <c r="E39" s="24"/>
      <c r="F39" s="24"/>
      <c r="G39" s="126"/>
      <c r="H39" s="126"/>
      <c r="I39" s="145"/>
    </row>
    <row r="40" spans="1:9" ht="12.75">
      <c r="A40" s="12" t="s">
        <v>158</v>
      </c>
      <c r="B40" s="95"/>
      <c r="C40" s="75"/>
      <c r="D40" s="38"/>
      <c r="E40" s="38"/>
      <c r="F40" s="79"/>
      <c r="G40" s="123"/>
      <c r="H40" s="123"/>
      <c r="I40" s="124"/>
    </row>
    <row r="41" spans="1:9" ht="12.75">
      <c r="A41" s="13" t="s">
        <v>159</v>
      </c>
      <c r="B41" s="95">
        <v>8010</v>
      </c>
      <c r="C41" s="75">
        <v>30000</v>
      </c>
      <c r="D41" s="103">
        <v>27627</v>
      </c>
      <c r="E41" s="161">
        <f>D41/9*12</f>
        <v>36836</v>
      </c>
      <c r="F41" s="79">
        <v>42000</v>
      </c>
      <c r="G41" s="123">
        <f aca="true" t="shared" si="6" ref="G41:G46">F41/12</f>
        <v>3500</v>
      </c>
      <c r="H41" s="123">
        <f aca="true" t="shared" si="7" ref="H41:H46">G41/219</f>
        <v>15.981735159817351</v>
      </c>
      <c r="I41" s="124">
        <f aca="true" t="shared" si="8" ref="I41:I46">G41/219</f>
        <v>15.981735159817351</v>
      </c>
    </row>
    <row r="42" spans="1:9" ht="12.75">
      <c r="A42" s="13" t="s">
        <v>160</v>
      </c>
      <c r="B42" s="95">
        <v>8030</v>
      </c>
      <c r="C42" s="75">
        <v>13000</v>
      </c>
      <c r="D42" s="103">
        <v>8713</v>
      </c>
      <c r="E42" s="161">
        <f>D42/9*12</f>
        <v>11617.333333333332</v>
      </c>
      <c r="F42" s="79">
        <v>12500</v>
      </c>
      <c r="G42" s="123">
        <f t="shared" si="6"/>
        <v>1041.6666666666667</v>
      </c>
      <c r="H42" s="123">
        <f t="shared" si="7"/>
        <v>4.756468797564688</v>
      </c>
      <c r="I42" s="124">
        <f t="shared" si="8"/>
        <v>4.756468797564688</v>
      </c>
    </row>
    <row r="43" spans="1:9" ht="12.75">
      <c r="A43" s="13" t="s">
        <v>161</v>
      </c>
      <c r="B43" s="95">
        <v>8040</v>
      </c>
      <c r="C43" s="75">
        <v>25000</v>
      </c>
      <c r="D43" s="103">
        <v>18898</v>
      </c>
      <c r="E43" s="163">
        <f>18472/9*12</f>
        <v>24629.333333333332</v>
      </c>
      <c r="F43" s="79">
        <v>25000</v>
      </c>
      <c r="G43" s="123">
        <f t="shared" si="6"/>
        <v>2083.3333333333335</v>
      </c>
      <c r="H43" s="123">
        <f t="shared" si="7"/>
        <v>9.512937595129376</v>
      </c>
      <c r="I43" s="124">
        <f t="shared" si="8"/>
        <v>9.512937595129376</v>
      </c>
    </row>
    <row r="44" spans="1:9" ht="12.75">
      <c r="A44" s="13" t="s">
        <v>19</v>
      </c>
      <c r="B44" s="95">
        <v>8045</v>
      </c>
      <c r="C44" s="75">
        <v>5900</v>
      </c>
      <c r="D44" s="103">
        <v>4346</v>
      </c>
      <c r="E44" s="161">
        <f>D44/9*12</f>
        <v>5794.666666666667</v>
      </c>
      <c r="F44" s="79">
        <v>5900</v>
      </c>
      <c r="G44" s="123">
        <f t="shared" si="6"/>
        <v>491.6666666666667</v>
      </c>
      <c r="H44" s="123">
        <f t="shared" si="7"/>
        <v>2.2450532724505328</v>
      </c>
      <c r="I44" s="124">
        <f t="shared" si="8"/>
        <v>2.2450532724505328</v>
      </c>
    </row>
    <row r="45" spans="1:9" ht="12.75">
      <c r="A45" s="13" t="s">
        <v>221</v>
      </c>
      <c r="B45" s="95">
        <v>8050</v>
      </c>
      <c r="C45" s="75">
        <v>1620</v>
      </c>
      <c r="D45" s="103">
        <v>2087</v>
      </c>
      <c r="E45" s="161">
        <f>D45/9*12</f>
        <v>2782.6666666666665</v>
      </c>
      <c r="F45" s="79">
        <f>300*12</f>
        <v>3600</v>
      </c>
      <c r="G45" s="123">
        <f t="shared" si="6"/>
        <v>300</v>
      </c>
      <c r="H45" s="123">
        <f t="shared" si="7"/>
        <v>1.36986301369863</v>
      </c>
      <c r="I45" s="124">
        <f t="shared" si="8"/>
        <v>1.36986301369863</v>
      </c>
    </row>
    <row r="46" spans="1:9" ht="12.75">
      <c r="A46" s="13" t="s">
        <v>162</v>
      </c>
      <c r="B46" s="95">
        <v>8060</v>
      </c>
      <c r="C46" s="75">
        <v>500</v>
      </c>
      <c r="D46" s="103">
        <v>0</v>
      </c>
      <c r="E46" s="161">
        <f>D46/9*12</f>
        <v>0</v>
      </c>
      <c r="F46" s="79">
        <v>0</v>
      </c>
      <c r="G46" s="123">
        <f t="shared" si="6"/>
        <v>0</v>
      </c>
      <c r="H46" s="123">
        <f t="shared" si="7"/>
        <v>0</v>
      </c>
      <c r="I46" s="124">
        <f t="shared" si="8"/>
        <v>0</v>
      </c>
    </row>
    <row r="47" spans="1:9" ht="13.5" thickBot="1">
      <c r="A47" s="104" t="s">
        <v>170</v>
      </c>
      <c r="B47" s="109"/>
      <c r="C47" s="106">
        <v>76020</v>
      </c>
      <c r="D47" s="107">
        <f aca="true" t="shared" si="9" ref="D47:I47">SUM(D41:D46)</f>
        <v>61671</v>
      </c>
      <c r="E47" s="164">
        <f t="shared" si="9"/>
        <v>81660</v>
      </c>
      <c r="F47" s="107">
        <f t="shared" si="9"/>
        <v>89000</v>
      </c>
      <c r="G47" s="125">
        <f t="shared" si="9"/>
        <v>7416.666666666667</v>
      </c>
      <c r="H47" s="125">
        <f t="shared" si="9"/>
        <v>33.86605783866057</v>
      </c>
      <c r="I47" s="144">
        <f t="shared" si="9"/>
        <v>33.86605783866057</v>
      </c>
    </row>
    <row r="48" spans="1:9" ht="13.5" thickBot="1">
      <c r="A48" s="15"/>
      <c r="B48" s="94"/>
      <c r="C48" s="76"/>
      <c r="D48" s="77"/>
      <c r="E48" s="24"/>
      <c r="F48" s="24"/>
      <c r="G48" s="126"/>
      <c r="H48" s="126"/>
      <c r="I48" s="145"/>
    </row>
    <row r="49" spans="1:9" ht="12.75">
      <c r="A49" s="12" t="s">
        <v>165</v>
      </c>
      <c r="B49" s="95"/>
      <c r="C49" s="75"/>
      <c r="D49" s="38"/>
      <c r="E49" s="165"/>
      <c r="F49" s="79"/>
      <c r="G49" s="123"/>
      <c r="H49" s="123"/>
      <c r="I49" s="124"/>
    </row>
    <row r="50" spans="1:10" ht="12.75">
      <c r="A50" s="13" t="s">
        <v>166</v>
      </c>
      <c r="B50" s="94">
        <v>8210</v>
      </c>
      <c r="C50" s="75">
        <v>12537</v>
      </c>
      <c r="D50" s="103">
        <v>8600</v>
      </c>
      <c r="E50" s="161">
        <f>D50/9*12</f>
        <v>11466.666666666666</v>
      </c>
      <c r="F50" s="79">
        <v>15500</v>
      </c>
      <c r="G50" s="123">
        <f>F50/12</f>
        <v>1291.6666666666667</v>
      </c>
      <c r="H50" s="123">
        <f>G50/219</f>
        <v>5.898021308980214</v>
      </c>
      <c r="I50" s="124">
        <f>G50/219</f>
        <v>5.898021308980214</v>
      </c>
      <c r="J50" s="172" t="s">
        <v>212</v>
      </c>
    </row>
    <row r="51" spans="1:10" ht="12.75">
      <c r="A51" s="13" t="s">
        <v>26</v>
      </c>
      <c r="B51" s="95">
        <v>8220</v>
      </c>
      <c r="C51" s="75">
        <v>6000</v>
      </c>
      <c r="D51" s="103">
        <v>11984</v>
      </c>
      <c r="E51" s="161">
        <f>11983-4016-2007+2000</f>
        <v>7960</v>
      </c>
      <c r="F51" s="79">
        <v>7000</v>
      </c>
      <c r="G51" s="123">
        <f>F51/12</f>
        <v>583.3333333333334</v>
      </c>
      <c r="H51" s="123">
        <f>G51/219</f>
        <v>2.6636225266362255</v>
      </c>
      <c r="I51" s="124">
        <f>G51/219</f>
        <v>2.6636225266362255</v>
      </c>
      <c r="J51" s="5" t="s">
        <v>240</v>
      </c>
    </row>
    <row r="52" spans="1:9" ht="13.5" thickBot="1">
      <c r="A52" s="104" t="s">
        <v>169</v>
      </c>
      <c r="B52" s="109"/>
      <c r="C52" s="106">
        <v>18537</v>
      </c>
      <c r="D52" s="107">
        <f aca="true" t="shared" si="10" ref="D52:I52">SUM(D50:D51)</f>
        <v>20584</v>
      </c>
      <c r="E52" s="164">
        <f t="shared" si="10"/>
        <v>19426.666666666664</v>
      </c>
      <c r="F52" s="107">
        <f t="shared" si="10"/>
        <v>22500</v>
      </c>
      <c r="G52" s="125">
        <f t="shared" si="10"/>
        <v>1875</v>
      </c>
      <c r="H52" s="125">
        <f t="shared" si="10"/>
        <v>8.56164383561644</v>
      </c>
      <c r="I52" s="144">
        <f t="shared" si="10"/>
        <v>8.56164383561644</v>
      </c>
    </row>
    <row r="53" spans="1:9" ht="13.5" thickBot="1">
      <c r="A53" s="15"/>
      <c r="B53" s="94"/>
      <c r="C53" s="76"/>
      <c r="D53" s="77"/>
      <c r="E53" s="24"/>
      <c r="F53" s="24"/>
      <c r="G53" s="126"/>
      <c r="H53" s="126"/>
      <c r="I53" s="145"/>
    </row>
    <row r="54" spans="1:9" ht="12.75">
      <c r="A54" s="12" t="s">
        <v>171</v>
      </c>
      <c r="B54" s="95"/>
      <c r="C54" s="75"/>
      <c r="D54" s="38"/>
      <c r="E54" s="165"/>
      <c r="F54" s="79"/>
      <c r="G54" s="123"/>
      <c r="H54" s="123"/>
      <c r="I54" s="124"/>
    </row>
    <row r="55" spans="1:9" ht="12.75">
      <c r="A55" s="13" t="s">
        <v>172</v>
      </c>
      <c r="B55" s="95">
        <v>8320</v>
      </c>
      <c r="C55" s="75">
        <v>6192</v>
      </c>
      <c r="D55" s="103">
        <v>4660</v>
      </c>
      <c r="E55" s="161">
        <f>D55/9*12</f>
        <v>6213.333333333334</v>
      </c>
      <c r="F55" s="79">
        <v>7000</v>
      </c>
      <c r="G55" s="123">
        <f>F55/12</f>
        <v>583.3333333333334</v>
      </c>
      <c r="H55" s="123">
        <f>G55/219</f>
        <v>2.6636225266362255</v>
      </c>
      <c r="I55" s="124">
        <f>G55/219</f>
        <v>2.6636225266362255</v>
      </c>
    </row>
    <row r="56" spans="1:9" ht="12.75">
      <c r="A56" s="13" t="s">
        <v>184</v>
      </c>
      <c r="B56" s="95">
        <v>8360</v>
      </c>
      <c r="C56" s="75">
        <v>1600</v>
      </c>
      <c r="D56" s="113">
        <v>756</v>
      </c>
      <c r="E56" s="161">
        <f>D56/9*12</f>
        <v>1008</v>
      </c>
      <c r="F56" s="79">
        <f>135*12</f>
        <v>1620</v>
      </c>
      <c r="G56" s="123">
        <f>F56/12</f>
        <v>135</v>
      </c>
      <c r="H56" s="123">
        <f>G56/219</f>
        <v>0.6164383561643836</v>
      </c>
      <c r="I56" s="124">
        <f>G56/219</f>
        <v>0.6164383561643836</v>
      </c>
    </row>
    <row r="57" spans="1:9" ht="13.5" thickBot="1">
      <c r="A57" s="104" t="s">
        <v>173</v>
      </c>
      <c r="B57" s="109"/>
      <c r="C57" s="106">
        <v>7792</v>
      </c>
      <c r="D57" s="107">
        <f aca="true" t="shared" si="11" ref="D57:I57">SUM(D55:D56)</f>
        <v>5416</v>
      </c>
      <c r="E57" s="107">
        <f t="shared" si="11"/>
        <v>7221.333333333334</v>
      </c>
      <c r="F57" s="107">
        <f t="shared" si="11"/>
        <v>8620</v>
      </c>
      <c r="G57" s="125">
        <f t="shared" si="11"/>
        <v>718.3333333333334</v>
      </c>
      <c r="H57" s="125">
        <f t="shared" si="11"/>
        <v>3.2800608828006093</v>
      </c>
      <c r="I57" s="144">
        <f t="shared" si="11"/>
        <v>3.2800608828006093</v>
      </c>
    </row>
    <row r="58" spans="1:9" ht="13.5" thickBot="1">
      <c r="A58" s="15"/>
      <c r="B58" s="94"/>
      <c r="C58" s="76"/>
      <c r="D58" s="77"/>
      <c r="E58" s="24"/>
      <c r="F58" s="24"/>
      <c r="G58" s="126"/>
      <c r="H58" s="126"/>
      <c r="I58" s="145"/>
    </row>
    <row r="59" spans="1:9" ht="12.75">
      <c r="A59" s="12" t="s">
        <v>174</v>
      </c>
      <c r="B59" s="95"/>
      <c r="C59" s="75"/>
      <c r="D59" s="38"/>
      <c r="E59" s="38"/>
      <c r="F59" s="79"/>
      <c r="G59" s="123"/>
      <c r="H59" s="123"/>
      <c r="I59" s="124"/>
    </row>
    <row r="60" spans="1:9" ht="12.75">
      <c r="A60" s="13" t="s">
        <v>229</v>
      </c>
      <c r="B60" s="95">
        <v>9010</v>
      </c>
      <c r="C60" s="75">
        <v>5000</v>
      </c>
      <c r="D60" s="103">
        <v>6350</v>
      </c>
      <c r="E60" s="161">
        <f>D60/9*12</f>
        <v>8466.666666666666</v>
      </c>
      <c r="F60" s="79">
        <v>10000</v>
      </c>
      <c r="G60" s="123">
        <f>F60/12</f>
        <v>833.3333333333334</v>
      </c>
      <c r="H60" s="123">
        <f>G60/219</f>
        <v>3.8051750380517504</v>
      </c>
      <c r="I60" s="124">
        <f>G60/219</f>
        <v>3.8051750380517504</v>
      </c>
    </row>
    <row r="61" spans="1:10" ht="12.75">
      <c r="A61" s="13" t="s">
        <v>175</v>
      </c>
      <c r="B61" s="94">
        <v>9020</v>
      </c>
      <c r="C61" s="75">
        <v>4000</v>
      </c>
      <c r="D61" s="163">
        <v>2509</v>
      </c>
      <c r="E61" s="161">
        <f>D61/9*12</f>
        <v>3345.333333333333</v>
      </c>
      <c r="F61" s="79">
        <v>4000</v>
      </c>
      <c r="G61" s="123">
        <f>F61/12</f>
        <v>333.3333333333333</v>
      </c>
      <c r="H61" s="123">
        <f>G61/219</f>
        <v>1.5220700152207</v>
      </c>
      <c r="I61" s="124">
        <f>G61/219</f>
        <v>1.5220700152207</v>
      </c>
      <c r="J61" s="5" t="s">
        <v>224</v>
      </c>
    </row>
    <row r="62" spans="1:9" ht="12.75">
      <c r="A62" s="13" t="s">
        <v>177</v>
      </c>
      <c r="B62" s="94">
        <v>9025</v>
      </c>
      <c r="C62" s="75">
        <v>0</v>
      </c>
      <c r="D62" s="103">
        <v>0</v>
      </c>
      <c r="E62" s="161">
        <v>0</v>
      </c>
      <c r="F62" s="79">
        <v>0</v>
      </c>
      <c r="G62" s="123">
        <f>F62/12</f>
        <v>0</v>
      </c>
      <c r="H62" s="123">
        <f>G62/219</f>
        <v>0</v>
      </c>
      <c r="I62" s="124">
        <f>G62/219</f>
        <v>0</v>
      </c>
    </row>
    <row r="63" spans="1:10" ht="12.75">
      <c r="A63" s="13" t="s">
        <v>176</v>
      </c>
      <c r="B63" s="94">
        <v>9030</v>
      </c>
      <c r="C63" s="75">
        <v>5000</v>
      </c>
      <c r="D63" s="103">
        <v>14408</v>
      </c>
      <c r="E63" s="161">
        <v>7000</v>
      </c>
      <c r="F63" s="79">
        <v>6000</v>
      </c>
      <c r="G63" s="123">
        <f>F63/12</f>
        <v>500</v>
      </c>
      <c r="H63" s="123">
        <f>G63/219</f>
        <v>2.2831050228310503</v>
      </c>
      <c r="I63" s="124">
        <f>G63/219</f>
        <v>2.2831050228310503</v>
      </c>
      <c r="J63" s="5" t="s">
        <v>234</v>
      </c>
    </row>
    <row r="64" spans="1:9" ht="13.5" thickBot="1">
      <c r="A64" s="104" t="s">
        <v>178</v>
      </c>
      <c r="B64" s="105"/>
      <c r="C64" s="108">
        <v>14000</v>
      </c>
      <c r="D64" s="112">
        <f aca="true" t="shared" si="12" ref="D64:I64">SUM(D60:D63)</f>
        <v>23267</v>
      </c>
      <c r="E64" s="112">
        <f t="shared" si="12"/>
        <v>18812</v>
      </c>
      <c r="F64" s="112">
        <f t="shared" si="12"/>
        <v>20000</v>
      </c>
      <c r="G64" s="128">
        <f t="shared" si="12"/>
        <v>1666.6666666666667</v>
      </c>
      <c r="H64" s="128">
        <f t="shared" si="12"/>
        <v>7.610350076103501</v>
      </c>
      <c r="I64" s="147">
        <f t="shared" si="12"/>
        <v>7.610350076103501</v>
      </c>
    </row>
    <row r="65" spans="1:9" ht="13.5" thickBot="1">
      <c r="A65" s="15"/>
      <c r="B65" s="94"/>
      <c r="C65" s="76"/>
      <c r="D65" s="77"/>
      <c r="E65" s="24"/>
      <c r="F65" s="24"/>
      <c r="G65" s="126"/>
      <c r="H65" s="126"/>
      <c r="I65" s="145"/>
    </row>
    <row r="66" spans="1:9" ht="12.75">
      <c r="A66" s="12" t="s">
        <v>179</v>
      </c>
      <c r="B66" s="94"/>
      <c r="C66" s="38"/>
      <c r="D66" s="38"/>
      <c r="E66" s="38"/>
      <c r="F66" s="79"/>
      <c r="G66" s="123"/>
      <c r="H66" s="123"/>
      <c r="I66" s="124"/>
    </row>
    <row r="67" spans="1:12" ht="12.75">
      <c r="A67" s="13" t="s">
        <v>180</v>
      </c>
      <c r="B67" s="94">
        <v>9510</v>
      </c>
      <c r="C67" s="38">
        <v>48626</v>
      </c>
      <c r="D67" s="103">
        <v>38898</v>
      </c>
      <c r="E67" s="161">
        <v>48500</v>
      </c>
      <c r="F67" s="79">
        <v>52000</v>
      </c>
      <c r="G67" s="123">
        <f aca="true" t="shared" si="13" ref="G67:G72">F67/12</f>
        <v>4333.333333333333</v>
      </c>
      <c r="H67" s="123">
        <f aca="true" t="shared" si="14" ref="H67:H72">G67/219</f>
        <v>19.7869101978691</v>
      </c>
      <c r="I67" s="124">
        <f aca="true" t="shared" si="15" ref="I67:I72">G67/219</f>
        <v>19.7869101978691</v>
      </c>
      <c r="J67" s="172" t="s">
        <v>212</v>
      </c>
      <c r="K67" s="207" t="s">
        <v>212</v>
      </c>
      <c r="L67" s="5" t="s">
        <v>212</v>
      </c>
    </row>
    <row r="68" spans="1:9" ht="12.75">
      <c r="A68" s="13" t="s">
        <v>13</v>
      </c>
      <c r="B68" s="94">
        <v>9518</v>
      </c>
      <c r="C68" s="38">
        <v>500</v>
      </c>
      <c r="D68" s="103">
        <v>210</v>
      </c>
      <c r="E68" s="103">
        <v>280</v>
      </c>
      <c r="F68" s="79">
        <v>500</v>
      </c>
      <c r="G68" s="123">
        <f t="shared" si="13"/>
        <v>41.666666666666664</v>
      </c>
      <c r="H68" s="123">
        <f t="shared" si="14"/>
        <v>0.1902587519025875</v>
      </c>
      <c r="I68" s="124">
        <f t="shared" si="15"/>
        <v>0.1902587519025875</v>
      </c>
    </row>
    <row r="69" spans="1:10" ht="12.75">
      <c r="A69" s="13" t="s">
        <v>181</v>
      </c>
      <c r="B69" s="94">
        <v>9520</v>
      </c>
      <c r="C69" s="39">
        <v>20000</v>
      </c>
      <c r="D69" s="103">
        <v>34948</v>
      </c>
      <c r="E69" s="161">
        <f>D69/9*12</f>
        <v>46597.333333333336</v>
      </c>
      <c r="F69" s="203">
        <v>25000</v>
      </c>
      <c r="G69" s="123">
        <f t="shared" si="13"/>
        <v>2083.3333333333335</v>
      </c>
      <c r="H69" s="123">
        <f t="shared" si="14"/>
        <v>9.512937595129376</v>
      </c>
      <c r="I69" s="124">
        <f t="shared" si="15"/>
        <v>9.512937595129376</v>
      </c>
      <c r="J69" s="5" t="s">
        <v>239</v>
      </c>
    </row>
    <row r="70" spans="1:10" ht="12.75">
      <c r="A70" s="13" t="s">
        <v>213</v>
      </c>
      <c r="B70" s="94"/>
      <c r="C70" s="162">
        <v>20000</v>
      </c>
      <c r="D70" s="103">
        <v>367</v>
      </c>
      <c r="E70" s="161">
        <v>11000</v>
      </c>
      <c r="F70" s="79">
        <v>25000</v>
      </c>
      <c r="G70" s="123">
        <f t="shared" si="13"/>
        <v>2083.3333333333335</v>
      </c>
      <c r="H70" s="123">
        <f t="shared" si="14"/>
        <v>9.512937595129376</v>
      </c>
      <c r="I70" s="124">
        <f t="shared" si="15"/>
        <v>9.512937595129376</v>
      </c>
      <c r="J70" s="5" t="s">
        <v>212</v>
      </c>
    </row>
    <row r="71" spans="1:10" ht="12.75">
      <c r="A71" s="13" t="s">
        <v>182</v>
      </c>
      <c r="B71" s="94">
        <v>9530</v>
      </c>
      <c r="C71" s="75">
        <v>12300</v>
      </c>
      <c r="D71" s="103">
        <v>1400</v>
      </c>
      <c r="E71" s="161">
        <f>D71/9*12+18920+5025+5200-10225</f>
        <v>20786.666666666668</v>
      </c>
      <c r="F71" s="116">
        <v>25000</v>
      </c>
      <c r="G71" s="123">
        <f t="shared" si="13"/>
        <v>2083.3333333333335</v>
      </c>
      <c r="H71" s="123">
        <f t="shared" si="14"/>
        <v>9.512937595129376</v>
      </c>
      <c r="I71" s="124">
        <f t="shared" si="15"/>
        <v>9.512937595129376</v>
      </c>
      <c r="J71" s="5" t="s">
        <v>235</v>
      </c>
    </row>
    <row r="72" spans="1:9" ht="12.75">
      <c r="A72" s="13" t="s">
        <v>15</v>
      </c>
      <c r="B72" s="94">
        <v>9540</v>
      </c>
      <c r="C72" s="78">
        <v>5000</v>
      </c>
      <c r="D72" s="103">
        <v>0</v>
      </c>
      <c r="E72" s="103">
        <v>10225</v>
      </c>
      <c r="F72" s="203">
        <v>10000</v>
      </c>
      <c r="G72" s="123">
        <f t="shared" si="13"/>
        <v>833.3333333333334</v>
      </c>
      <c r="H72" s="123">
        <f t="shared" si="14"/>
        <v>3.8051750380517504</v>
      </c>
      <c r="I72" s="124">
        <f t="shared" si="15"/>
        <v>3.8051750380517504</v>
      </c>
    </row>
    <row r="73" spans="1:9" ht="13.5" thickBot="1">
      <c r="A73" s="104" t="s">
        <v>183</v>
      </c>
      <c r="B73" s="105"/>
      <c r="C73" s="106">
        <v>106426</v>
      </c>
      <c r="D73" s="112">
        <f aca="true" t="shared" si="16" ref="D73:I73">SUM(D67:D72)</f>
        <v>75823</v>
      </c>
      <c r="E73" s="112">
        <f t="shared" si="16"/>
        <v>137389</v>
      </c>
      <c r="F73" s="112">
        <f t="shared" si="16"/>
        <v>137500</v>
      </c>
      <c r="G73" s="128">
        <f t="shared" si="16"/>
        <v>11458.333333333336</v>
      </c>
      <c r="H73" s="128">
        <f t="shared" si="16"/>
        <v>52.32115677321156</v>
      </c>
      <c r="I73" s="147">
        <f t="shared" si="16"/>
        <v>52.32115677321156</v>
      </c>
    </row>
    <row r="74" spans="1:9" ht="13.5" thickBot="1">
      <c r="A74" s="15"/>
      <c r="B74" s="94"/>
      <c r="C74" s="76"/>
      <c r="D74" s="77"/>
      <c r="E74" s="24"/>
      <c r="F74" s="24"/>
      <c r="G74" s="126"/>
      <c r="H74" s="126"/>
      <c r="I74" s="145"/>
    </row>
    <row r="75" spans="1:9" ht="12.75">
      <c r="A75" s="12"/>
      <c r="B75" s="94"/>
      <c r="C75" s="75"/>
      <c r="D75" s="38"/>
      <c r="E75" s="38"/>
      <c r="F75" s="79"/>
      <c r="G75" s="123"/>
      <c r="H75" s="123"/>
      <c r="I75" s="124"/>
    </row>
    <row r="76" spans="1:9" ht="12.75">
      <c r="A76" s="104" t="s">
        <v>185</v>
      </c>
      <c r="B76" s="105"/>
      <c r="C76" s="106">
        <v>402219.33999999997</v>
      </c>
      <c r="D76" s="107">
        <f aca="true" t="shared" si="17" ref="D76:I76">D32+D38+D47+D52+D57+D64+D73</f>
        <v>312644</v>
      </c>
      <c r="E76" s="107">
        <f t="shared" si="17"/>
        <v>476816.9166666666</v>
      </c>
      <c r="F76" s="107">
        <f t="shared" si="17"/>
        <v>526550</v>
      </c>
      <c r="G76" s="125">
        <f t="shared" si="17"/>
        <v>43879.16666666667</v>
      </c>
      <c r="H76" s="125">
        <f t="shared" si="17"/>
        <v>200.36149162861494</v>
      </c>
      <c r="I76" s="144">
        <f t="shared" si="17"/>
        <v>200.36149162861494</v>
      </c>
    </row>
    <row r="77" spans="1:9" ht="13.5" thickBot="1">
      <c r="A77" s="13"/>
      <c r="B77" s="94"/>
      <c r="C77" s="75"/>
      <c r="D77" s="38"/>
      <c r="E77" s="38"/>
      <c r="F77" s="79"/>
      <c r="G77" s="123"/>
      <c r="H77" s="123"/>
      <c r="I77" s="124"/>
    </row>
    <row r="78" spans="1:9" ht="13.5" thickBot="1">
      <c r="A78" s="15"/>
      <c r="B78" s="94"/>
      <c r="C78" s="76"/>
      <c r="D78" s="77"/>
      <c r="E78" s="24"/>
      <c r="F78" s="24"/>
      <c r="G78" s="126"/>
      <c r="H78" s="126"/>
      <c r="I78" s="145"/>
    </row>
    <row r="79" spans="1:9" ht="12.75">
      <c r="A79" s="12" t="s">
        <v>186</v>
      </c>
      <c r="B79" s="94"/>
      <c r="C79" s="75"/>
      <c r="D79" s="38"/>
      <c r="E79" s="38"/>
      <c r="F79" s="72"/>
      <c r="G79" s="123"/>
      <c r="H79" s="123"/>
      <c r="I79" s="124"/>
    </row>
    <row r="80" spans="1:9" ht="12.75">
      <c r="A80" s="13" t="s">
        <v>187</v>
      </c>
      <c r="B80" s="94"/>
      <c r="C80" s="75">
        <v>53760.682185953425</v>
      </c>
      <c r="D80" s="103">
        <f>C80/12*9</f>
        <v>40320.51163946507</v>
      </c>
      <c r="E80" s="99">
        <f>D80/9*12</f>
        <v>53760.682185953425</v>
      </c>
      <c r="F80" s="72">
        <f>'Reserve Schedule'!I54</f>
        <v>46149.34572615483</v>
      </c>
      <c r="G80" s="123">
        <f>F80/12</f>
        <v>3845.7788105129025</v>
      </c>
      <c r="H80" s="123">
        <f>G80/219</f>
        <v>17.56063383795846</v>
      </c>
      <c r="I80" s="124">
        <f>G80/219</f>
        <v>17.56063383795846</v>
      </c>
    </row>
    <row r="81" spans="1:9" ht="12.75">
      <c r="A81" s="13" t="s">
        <v>189</v>
      </c>
      <c r="B81" s="94"/>
      <c r="C81" s="75">
        <v>168904.81333333335</v>
      </c>
      <c r="D81" s="103">
        <f>C81/12*9</f>
        <v>126678.61000000002</v>
      </c>
      <c r="E81" s="99">
        <f>D81/9*12</f>
        <v>168904.81333333335</v>
      </c>
      <c r="F81" s="72">
        <f>'Reserve Schedule'!I61</f>
        <v>209575.09333333338</v>
      </c>
      <c r="G81" s="123">
        <f>F81/12</f>
        <v>17464.591111111116</v>
      </c>
      <c r="H81" s="123">
        <f>G81/131</f>
        <v>133.3174893977948</v>
      </c>
      <c r="I81" s="123">
        <v>0</v>
      </c>
    </row>
    <row r="82" spans="1:9" ht="12.75">
      <c r="A82" s="13" t="s">
        <v>188</v>
      </c>
      <c r="B82" s="94"/>
      <c r="C82" s="75">
        <v>45619</v>
      </c>
      <c r="D82" s="103">
        <f>C82/12*9</f>
        <v>34214.25</v>
      </c>
      <c r="E82" s="99">
        <f>D82/9*12</f>
        <v>45619</v>
      </c>
      <c r="F82" s="72">
        <f>'Reserve Schedule'!I68</f>
        <v>67767.8125</v>
      </c>
      <c r="G82" s="123">
        <f>F82/12</f>
        <v>5647.317708333333</v>
      </c>
      <c r="H82" s="123">
        <v>0</v>
      </c>
      <c r="I82" s="124">
        <f>G82/88</f>
        <v>64.17406486742424</v>
      </c>
    </row>
    <row r="83" spans="1:9" ht="12.75">
      <c r="A83" s="104" t="s">
        <v>190</v>
      </c>
      <c r="B83" s="94"/>
      <c r="C83" s="106">
        <v>268284.4955192868</v>
      </c>
      <c r="D83" s="112">
        <f aca="true" t="shared" si="18" ref="D83:I83">SUM(D80:D82)</f>
        <v>201213.3716394651</v>
      </c>
      <c r="E83" s="112">
        <f t="shared" si="18"/>
        <v>268284.4955192868</v>
      </c>
      <c r="F83" s="112">
        <f t="shared" si="18"/>
        <v>323492.25155948824</v>
      </c>
      <c r="G83" s="128">
        <f t="shared" si="18"/>
        <v>26957.687629957352</v>
      </c>
      <c r="H83" s="128">
        <f t="shared" si="18"/>
        <v>150.87812323575324</v>
      </c>
      <c r="I83" s="147">
        <f t="shared" si="18"/>
        <v>81.7346987053827</v>
      </c>
    </row>
    <row r="84" spans="1:9" ht="12.75">
      <c r="A84" s="15"/>
      <c r="B84" s="94"/>
      <c r="C84" s="76"/>
      <c r="D84" s="77"/>
      <c r="E84" s="77"/>
      <c r="F84" s="115"/>
      <c r="G84" s="126"/>
      <c r="H84" s="126"/>
      <c r="I84" s="145"/>
    </row>
    <row r="85" spans="1:9" ht="12.75">
      <c r="A85" s="104"/>
      <c r="B85" s="94"/>
      <c r="C85" s="106"/>
      <c r="D85" s="112"/>
      <c r="E85" s="112"/>
      <c r="F85" s="112"/>
      <c r="G85" s="128"/>
      <c r="H85" s="128"/>
      <c r="I85" s="147"/>
    </row>
    <row r="86" spans="1:9" ht="12.75">
      <c r="A86" s="104" t="s">
        <v>97</v>
      </c>
      <c r="B86" s="94"/>
      <c r="C86" s="200">
        <f>C76+C83</f>
        <v>670503.8355192868</v>
      </c>
      <c r="D86" s="112">
        <f>D76+D83</f>
        <v>513857.3716394651</v>
      </c>
      <c r="E86" s="112">
        <f>E76+E83</f>
        <v>745101.4121859535</v>
      </c>
      <c r="F86" s="112">
        <f>F76+F83</f>
        <v>850042.2515594882</v>
      </c>
      <c r="G86" s="112">
        <f>G76+G83</f>
        <v>70836.85429662402</v>
      </c>
      <c r="H86" s="112">
        <f>H76+H83-H17</f>
        <v>351.23961486436815</v>
      </c>
      <c r="I86" s="148">
        <f>I76+I83-H17</f>
        <v>282.09619033399764</v>
      </c>
    </row>
    <row r="87" spans="1:9" ht="12.75">
      <c r="A87" s="104"/>
      <c r="B87" s="94"/>
      <c r="C87" s="106"/>
      <c r="D87" s="112"/>
      <c r="E87" s="112"/>
      <c r="F87" s="112"/>
      <c r="G87" s="128"/>
      <c r="H87" s="128"/>
      <c r="I87" s="147"/>
    </row>
    <row r="88" spans="1:9" ht="12.75">
      <c r="A88" s="104"/>
      <c r="B88" s="94"/>
      <c r="C88" s="106"/>
      <c r="D88" s="112"/>
      <c r="E88" s="112"/>
      <c r="F88" s="112"/>
      <c r="G88" s="128"/>
      <c r="H88" s="128"/>
      <c r="I88" s="147"/>
    </row>
    <row r="89" spans="1:11" ht="14.25">
      <c r="A89" s="166" t="s">
        <v>237</v>
      </c>
      <c r="B89" s="94"/>
      <c r="C89" s="106" t="s">
        <v>199</v>
      </c>
      <c r="D89" s="112"/>
      <c r="E89" s="112"/>
      <c r="F89" s="112" t="s">
        <v>199</v>
      </c>
      <c r="G89" s="210" t="s">
        <v>208</v>
      </c>
      <c r="H89" s="211"/>
      <c r="I89" s="147">
        <f>SUM(H9:H11)-H17</f>
        <v>351.23961486436815</v>
      </c>
      <c r="J89" s="201">
        <f>I89-280.95</f>
        <v>70.28961486436816</v>
      </c>
      <c r="K89" s="5" t="s">
        <v>212</v>
      </c>
    </row>
    <row r="90" spans="1:10" ht="15" thickBot="1">
      <c r="A90" s="167" t="s">
        <v>238</v>
      </c>
      <c r="B90" s="149"/>
      <c r="C90" s="150" t="s">
        <v>200</v>
      </c>
      <c r="D90" s="151"/>
      <c r="E90" s="151"/>
      <c r="F90" s="151" t="s">
        <v>200</v>
      </c>
      <c r="G90" s="212" t="s">
        <v>208</v>
      </c>
      <c r="H90" s="213"/>
      <c r="I90" s="152">
        <f>SUM(I9:I12)</f>
        <v>282.0961903339976</v>
      </c>
      <c r="J90" s="201">
        <f>I90-216.71</f>
        <v>65.38619033399758</v>
      </c>
    </row>
  </sheetData>
  <sheetProtection/>
  <mergeCells count="3">
    <mergeCell ref="F5:F6"/>
    <mergeCell ref="G89:H89"/>
    <mergeCell ref="G90:H90"/>
  </mergeCells>
  <printOptions gridLines="1"/>
  <pageMargins left="0.5" right="0.5" top="0.31" bottom="0.31" header="0.3" footer="0.3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="85" zoomScaleNormal="85" zoomScalePageLayoutView="0" workbookViewId="0" topLeftCell="A1">
      <selection activeCell="D14" sqref="D14"/>
    </sheetView>
  </sheetViews>
  <sheetFormatPr defaultColWidth="9.140625" defaultRowHeight="15"/>
  <cols>
    <col min="1" max="1" width="38.421875" style="5" customWidth="1"/>
    <col min="2" max="2" width="8.8515625" style="5" bestFit="1" customWidth="1"/>
    <col min="3" max="4" width="13.7109375" style="36" customWidth="1"/>
    <col min="5" max="5" width="15.8515625" style="36" customWidth="1"/>
    <col min="6" max="6" width="18.00390625" style="36" customWidth="1"/>
    <col min="7" max="7" width="14.140625" style="5" customWidth="1"/>
    <col min="8" max="8" width="14.28125" style="5" customWidth="1"/>
    <col min="9" max="9" width="13.421875" style="5" customWidth="1"/>
    <col min="10" max="10" width="11.00390625" style="5" bestFit="1" customWidth="1"/>
    <col min="11" max="16384" width="9.140625" style="5" customWidth="1"/>
  </cols>
  <sheetData>
    <row r="1" spans="1:6" ht="12.75">
      <c r="A1" s="3" t="s">
        <v>2</v>
      </c>
      <c r="B1" s="4"/>
      <c r="C1" s="23"/>
      <c r="D1" s="23"/>
      <c r="E1" s="23"/>
      <c r="F1" s="23"/>
    </row>
    <row r="2" spans="1:6" ht="12.75">
      <c r="A2" s="8" t="s">
        <v>34</v>
      </c>
      <c r="B2" s="4"/>
      <c r="C2" s="23"/>
      <c r="D2" s="23"/>
      <c r="E2" s="23"/>
      <c r="F2" s="23"/>
    </row>
    <row r="3" spans="1:6" ht="12.75">
      <c r="A3" s="8" t="s">
        <v>54</v>
      </c>
      <c r="B3" s="4"/>
      <c r="C3" s="23"/>
      <c r="D3" s="23"/>
      <c r="E3" s="23"/>
      <c r="F3" s="23"/>
    </row>
    <row r="4" spans="1:6" ht="12.75">
      <c r="A4" s="8" t="s">
        <v>35</v>
      </c>
      <c r="B4" s="4"/>
      <c r="C4" s="23"/>
      <c r="D4" s="23"/>
      <c r="E4" s="23"/>
      <c r="F4" s="23"/>
    </row>
    <row r="5" spans="1:6" ht="13.5" thickBot="1">
      <c r="A5" s="8"/>
      <c r="B5" s="4"/>
      <c r="C5" s="23"/>
      <c r="D5" s="23"/>
      <c r="E5" s="23"/>
      <c r="F5" s="23"/>
    </row>
    <row r="6" spans="1:6" s="2" customFormat="1" ht="12.75" customHeight="1">
      <c r="A6" s="11" t="s">
        <v>51</v>
      </c>
      <c r="B6" s="216"/>
      <c r="C6" s="214" t="s">
        <v>48</v>
      </c>
      <c r="D6" s="214" t="s">
        <v>52</v>
      </c>
      <c r="E6" s="214" t="s">
        <v>49</v>
      </c>
      <c r="F6" s="214" t="s">
        <v>50</v>
      </c>
    </row>
    <row r="7" spans="1:6" s="2" customFormat="1" ht="13.5" thickBot="1">
      <c r="A7" s="16"/>
      <c r="B7" s="217"/>
      <c r="C7" s="215"/>
      <c r="D7" s="215"/>
      <c r="E7" s="215"/>
      <c r="F7" s="215"/>
    </row>
    <row r="8" spans="1:6" ht="13.5" thickBot="1">
      <c r="A8" s="20"/>
      <c r="B8" s="21"/>
      <c r="C8" s="24"/>
      <c r="D8" s="24"/>
      <c r="E8" s="24"/>
      <c r="F8" s="24"/>
    </row>
    <row r="9" spans="1:6" ht="12.75">
      <c r="A9" s="19" t="s">
        <v>3</v>
      </c>
      <c r="B9" s="9"/>
      <c r="C9" s="25"/>
      <c r="D9" s="25"/>
      <c r="E9" s="25"/>
      <c r="F9" s="25"/>
    </row>
    <row r="10" spans="1:6" ht="12.75">
      <c r="A10" s="13" t="s">
        <v>4</v>
      </c>
      <c r="B10" s="9"/>
      <c r="C10" s="26">
        <v>21012</v>
      </c>
      <c r="D10" s="26">
        <v>14760</v>
      </c>
      <c r="E10" s="26">
        <v>20016</v>
      </c>
      <c r="F10" s="26">
        <v>22000</v>
      </c>
    </row>
    <row r="11" spans="1:6" ht="12.75">
      <c r="A11" s="13" t="s">
        <v>5</v>
      </c>
      <c r="B11" s="9"/>
      <c r="C11" s="26">
        <v>4000</v>
      </c>
      <c r="D11" s="26">
        <v>2089.65</v>
      </c>
      <c r="E11" s="26">
        <v>4000</v>
      </c>
      <c r="F11" s="26">
        <v>4000</v>
      </c>
    </row>
    <row r="12" spans="1:6" ht="12.75">
      <c r="A12" s="13" t="s">
        <v>6</v>
      </c>
      <c r="B12" s="9"/>
      <c r="C12" s="26">
        <v>15000</v>
      </c>
      <c r="D12" s="26">
        <v>6091</v>
      </c>
      <c r="E12" s="26">
        <v>10000</v>
      </c>
      <c r="F12" s="26">
        <v>15000</v>
      </c>
    </row>
    <row r="13" spans="1:6" ht="12.75">
      <c r="A13" s="13" t="s">
        <v>7</v>
      </c>
      <c r="B13" s="9"/>
      <c r="C13" s="26"/>
      <c r="D13" s="26"/>
      <c r="E13" s="26"/>
      <c r="F13" s="26"/>
    </row>
    <row r="14" spans="1:6" ht="12.75">
      <c r="A14" s="13" t="s">
        <v>39</v>
      </c>
      <c r="B14" s="9"/>
      <c r="C14" s="26">
        <v>-56000</v>
      </c>
      <c r="D14" s="26"/>
      <c r="E14" s="26"/>
      <c r="F14" s="26"/>
    </row>
    <row r="15" spans="1:6" ht="12.75">
      <c r="A15" s="13" t="s">
        <v>8</v>
      </c>
      <c r="B15" s="9"/>
      <c r="C15" s="26">
        <v>19981</v>
      </c>
      <c r="D15" s="26">
        <v>15660.09</v>
      </c>
      <c r="E15" s="26">
        <v>15660</v>
      </c>
      <c r="F15" s="26">
        <v>21600</v>
      </c>
    </row>
    <row r="16" spans="1:6" ht="12.75">
      <c r="A16" s="13" t="s">
        <v>9</v>
      </c>
      <c r="B16" s="9"/>
      <c r="C16" s="26">
        <v>5500</v>
      </c>
      <c r="D16" s="26">
        <v>0</v>
      </c>
      <c r="E16" s="26"/>
      <c r="F16" s="26">
        <v>400</v>
      </c>
    </row>
    <row r="17" spans="1:11" ht="12.75">
      <c r="A17" s="13" t="s">
        <v>10</v>
      </c>
      <c r="B17" s="9"/>
      <c r="C17" s="26">
        <v>20000</v>
      </c>
      <c r="D17" s="26">
        <v>-45845.57</v>
      </c>
      <c r="E17" s="26"/>
      <c r="F17" s="26">
        <v>15000</v>
      </c>
      <c r="K17" s="5" t="s">
        <v>34</v>
      </c>
    </row>
    <row r="18" spans="1:6" ht="12.75">
      <c r="A18" s="14" t="s">
        <v>0</v>
      </c>
      <c r="B18" s="17"/>
      <c r="C18" s="27">
        <f>SUM(C10:C17)</f>
        <v>29493</v>
      </c>
      <c r="D18" s="27">
        <f>SUM(D10:D17)</f>
        <v>-7244.8299999999945</v>
      </c>
      <c r="E18" s="27">
        <f>SUM(E10:E17)</f>
        <v>49676</v>
      </c>
      <c r="F18" s="27">
        <f>SUM(F10:F17)</f>
        <v>78000</v>
      </c>
    </row>
    <row r="19" spans="1:6" ht="12.75">
      <c r="A19" s="15"/>
      <c r="B19" s="9"/>
      <c r="C19" s="28"/>
      <c r="D19" s="28"/>
      <c r="E19" s="28"/>
      <c r="F19" s="28"/>
    </row>
    <row r="20" spans="1:6" ht="12.75">
      <c r="A20" s="12" t="s">
        <v>11</v>
      </c>
      <c r="B20" s="18"/>
      <c r="C20" s="26"/>
      <c r="D20" s="26"/>
      <c r="E20" s="26"/>
      <c r="F20" s="26"/>
    </row>
    <row r="21" spans="1:6" ht="12.75">
      <c r="A21" s="13" t="s">
        <v>12</v>
      </c>
      <c r="B21" s="9"/>
      <c r="C21" s="26">
        <v>14500</v>
      </c>
      <c r="D21" s="26">
        <v>9900</v>
      </c>
      <c r="E21" s="26">
        <v>13200</v>
      </c>
      <c r="F21" s="26">
        <v>14500</v>
      </c>
    </row>
    <row r="22" spans="1:9" ht="12.75">
      <c r="A22" s="13" t="s">
        <v>33</v>
      </c>
      <c r="B22" s="18"/>
      <c r="C22" s="26">
        <v>33000</v>
      </c>
      <c r="D22" s="26">
        <v>21566.25</v>
      </c>
      <c r="E22" s="26">
        <v>28754.66</v>
      </c>
      <c r="F22" s="26">
        <v>33000</v>
      </c>
      <c r="I22" s="5" t="s">
        <v>34</v>
      </c>
    </row>
    <row r="23" spans="1:6" ht="12.75">
      <c r="A23" s="13" t="s">
        <v>47</v>
      </c>
      <c r="B23" s="9"/>
      <c r="C23" s="26">
        <v>35000</v>
      </c>
      <c r="D23" s="26">
        <v>125</v>
      </c>
      <c r="E23" s="26">
        <v>6000</v>
      </c>
      <c r="F23" s="26">
        <v>35000</v>
      </c>
    </row>
    <row r="24" spans="1:6" ht="12.75">
      <c r="A24" s="13" t="s">
        <v>13</v>
      </c>
      <c r="B24" s="9"/>
      <c r="C24" s="26">
        <v>1000</v>
      </c>
      <c r="D24" s="26"/>
      <c r="E24" s="26">
        <v>350</v>
      </c>
      <c r="F24" s="26">
        <v>350</v>
      </c>
    </row>
    <row r="25" spans="1:6" ht="12.75">
      <c r="A25" s="13" t="s">
        <v>14</v>
      </c>
      <c r="B25" s="9"/>
      <c r="C25" s="26">
        <v>14000</v>
      </c>
      <c r="D25" s="26">
        <v>7232.31</v>
      </c>
      <c r="E25" s="26">
        <v>9642.65</v>
      </c>
      <c r="F25" s="26">
        <v>10000</v>
      </c>
    </row>
    <row r="26" spans="1:6" ht="12.75">
      <c r="A26" s="13" t="s">
        <v>15</v>
      </c>
      <c r="B26" s="9"/>
      <c r="C26" s="26">
        <v>5000</v>
      </c>
      <c r="D26" s="26">
        <v>65</v>
      </c>
      <c r="E26" s="26">
        <v>200</v>
      </c>
      <c r="F26" s="26">
        <v>5000</v>
      </c>
    </row>
    <row r="27" spans="1:6" ht="12.75">
      <c r="A27" s="13" t="s">
        <v>16</v>
      </c>
      <c r="B27" s="9"/>
      <c r="C27" s="38">
        <v>36000</v>
      </c>
      <c r="D27" s="26">
        <v>28906.78</v>
      </c>
      <c r="E27" s="37">
        <v>38542.64</v>
      </c>
      <c r="F27" s="38">
        <v>39000</v>
      </c>
    </row>
    <row r="28" spans="1:6" ht="12.75">
      <c r="A28" s="13" t="s">
        <v>17</v>
      </c>
      <c r="B28" s="9"/>
      <c r="C28" s="39">
        <v>5000</v>
      </c>
      <c r="D28" s="26">
        <v>3524.8</v>
      </c>
      <c r="E28" s="37">
        <v>4700</v>
      </c>
      <c r="F28" s="39">
        <v>7000</v>
      </c>
    </row>
    <row r="29" spans="1:6" ht="12.75">
      <c r="A29" s="13" t="s">
        <v>27</v>
      </c>
      <c r="B29" s="9"/>
      <c r="C29" s="25"/>
      <c r="D29" s="26"/>
      <c r="E29" s="26"/>
      <c r="F29" s="25"/>
    </row>
    <row r="30" spans="1:6" ht="12.75">
      <c r="A30" s="13" t="s">
        <v>18</v>
      </c>
      <c r="B30" s="9"/>
      <c r="C30" s="42">
        <v>22000</v>
      </c>
      <c r="D30" s="26">
        <v>18986.4</v>
      </c>
      <c r="E30" s="26">
        <v>25314.65</v>
      </c>
      <c r="F30" s="42">
        <v>22000</v>
      </c>
    </row>
    <row r="31" spans="1:6" ht="12.75">
      <c r="A31" s="13" t="s">
        <v>19</v>
      </c>
      <c r="B31" s="9"/>
      <c r="C31" s="26">
        <v>7000</v>
      </c>
      <c r="D31" s="26">
        <v>2893.8</v>
      </c>
      <c r="E31" s="26">
        <v>3800</v>
      </c>
      <c r="F31" s="26">
        <v>7000</v>
      </c>
    </row>
    <row r="32" spans="1:6" ht="12.75">
      <c r="A32" s="13" t="s">
        <v>20</v>
      </c>
      <c r="B32" s="9"/>
      <c r="C32" s="26">
        <v>17000</v>
      </c>
      <c r="D32" s="26">
        <v>6326.22</v>
      </c>
      <c r="E32" s="26">
        <v>8434.64</v>
      </c>
      <c r="F32" s="26">
        <v>17000</v>
      </c>
    </row>
    <row r="33" spans="1:6" ht="12.75">
      <c r="A33" s="14" t="s">
        <v>32</v>
      </c>
      <c r="B33" s="9"/>
      <c r="C33" s="29">
        <f>SUM(C21:C32)</f>
        <v>189500</v>
      </c>
      <c r="D33" s="29">
        <f>SUM(D21:D32)</f>
        <v>99526.56000000001</v>
      </c>
      <c r="E33" s="29">
        <f>SUM(E21:E32)</f>
        <v>138939.24</v>
      </c>
      <c r="F33" s="29">
        <f>SUM(F21:F32)</f>
        <v>189850</v>
      </c>
    </row>
    <row r="34" spans="1:6" ht="12.75">
      <c r="A34" s="15"/>
      <c r="B34" s="9"/>
      <c r="C34" s="28"/>
      <c r="D34" s="28"/>
      <c r="E34" s="28"/>
      <c r="F34" s="28"/>
    </row>
    <row r="35" spans="1:6" ht="12.75">
      <c r="A35" s="12" t="s">
        <v>21</v>
      </c>
      <c r="B35" s="9"/>
      <c r="C35" s="26"/>
      <c r="D35" s="26"/>
      <c r="E35" s="26"/>
      <c r="F35" s="26"/>
    </row>
    <row r="36" spans="1:6" ht="12.75">
      <c r="A36" s="13" t="s">
        <v>28</v>
      </c>
      <c r="B36" s="9"/>
      <c r="C36" s="26">
        <v>6000</v>
      </c>
      <c r="D36" s="26">
        <v>1479.06</v>
      </c>
      <c r="E36" s="26">
        <v>1972</v>
      </c>
      <c r="F36" s="26">
        <v>6000</v>
      </c>
    </row>
    <row r="37" spans="1:6" ht="12.75">
      <c r="A37" s="13" t="s">
        <v>22</v>
      </c>
      <c r="B37" s="9"/>
      <c r="C37" s="26">
        <v>6000</v>
      </c>
      <c r="D37" s="26">
        <v>4132.62</v>
      </c>
      <c r="E37" s="26">
        <v>5510.66</v>
      </c>
      <c r="F37" s="26">
        <v>6000</v>
      </c>
    </row>
    <row r="38" spans="1:6" ht="12.75">
      <c r="A38" s="13" t="s">
        <v>23</v>
      </c>
      <c r="B38" s="9"/>
      <c r="C38" s="26">
        <v>7000</v>
      </c>
      <c r="D38" s="26">
        <v>2924.07</v>
      </c>
      <c r="E38" s="26">
        <v>3248.88</v>
      </c>
      <c r="F38" s="26">
        <v>5000</v>
      </c>
    </row>
    <row r="39" spans="1:6" ht="12.75">
      <c r="A39" s="13" t="s">
        <v>24</v>
      </c>
      <c r="B39" s="9"/>
      <c r="C39" s="26">
        <v>2000</v>
      </c>
      <c r="D39" s="26">
        <v>1145.76</v>
      </c>
      <c r="E39" s="26">
        <v>1528</v>
      </c>
      <c r="F39" s="26">
        <v>2000</v>
      </c>
    </row>
    <row r="40" spans="1:6" ht="12.75">
      <c r="A40" s="13" t="s">
        <v>42</v>
      </c>
      <c r="B40" s="9"/>
      <c r="C40" s="26">
        <v>1080</v>
      </c>
      <c r="D40" s="26">
        <v>323.9</v>
      </c>
      <c r="E40" s="26">
        <v>432</v>
      </c>
      <c r="F40" s="26">
        <v>1080</v>
      </c>
    </row>
    <row r="41" spans="1:6" ht="12.75">
      <c r="A41" s="13" t="s">
        <v>1</v>
      </c>
      <c r="B41" s="9"/>
      <c r="C41" s="26">
        <v>2500</v>
      </c>
      <c r="D41" s="26">
        <v>470</v>
      </c>
      <c r="E41" s="26">
        <v>626.66</v>
      </c>
      <c r="F41" s="26">
        <v>2500</v>
      </c>
    </row>
    <row r="42" spans="1:6" ht="12.75">
      <c r="A42" s="13" t="s">
        <v>25</v>
      </c>
      <c r="B42" s="9"/>
      <c r="C42" s="26">
        <v>10000</v>
      </c>
      <c r="D42" s="26">
        <v>12649.33</v>
      </c>
      <c r="E42" s="26">
        <v>16865.32</v>
      </c>
      <c r="F42" s="26">
        <v>15000</v>
      </c>
    </row>
    <row r="43" spans="1:9" ht="12.75">
      <c r="A43" s="13" t="s">
        <v>26</v>
      </c>
      <c r="B43" s="9"/>
      <c r="C43" s="26">
        <v>10000</v>
      </c>
      <c r="D43" s="26">
        <v>13082.45</v>
      </c>
      <c r="E43" s="26">
        <v>17442.65</v>
      </c>
      <c r="F43" s="26">
        <v>13000</v>
      </c>
      <c r="I43" s="36"/>
    </row>
    <row r="44" spans="1:6" ht="12.75">
      <c r="A44" s="14" t="s">
        <v>31</v>
      </c>
      <c r="B44" s="9"/>
      <c r="C44" s="29">
        <f>SUM(C36:C43)</f>
        <v>44580</v>
      </c>
      <c r="D44" s="29">
        <f>SUM(D36:D43)</f>
        <v>36207.19</v>
      </c>
      <c r="E44" s="29">
        <f>SUM(E36:E43)</f>
        <v>47626.17</v>
      </c>
      <c r="F44" s="29">
        <f>SUM(F36:F43)</f>
        <v>50580</v>
      </c>
    </row>
    <row r="45" spans="1:6" ht="12.75">
      <c r="A45" s="15"/>
      <c r="B45" s="9"/>
      <c r="C45" s="28"/>
      <c r="D45" s="28"/>
      <c r="E45" s="28"/>
      <c r="F45" s="28"/>
    </row>
    <row r="46" spans="1:6" ht="12.75" hidden="1">
      <c r="A46" s="13" t="s">
        <v>34</v>
      </c>
      <c r="B46" s="9"/>
      <c r="C46" s="30">
        <v>0</v>
      </c>
      <c r="D46" s="30">
        <v>0</v>
      </c>
      <c r="E46" s="30">
        <v>0</v>
      </c>
      <c r="F46" s="30">
        <v>0</v>
      </c>
    </row>
    <row r="47" spans="1:6" ht="1.5" customHeight="1" thickBot="1">
      <c r="A47" s="15"/>
      <c r="B47" s="9"/>
      <c r="C47" s="28"/>
      <c r="D47" s="28"/>
      <c r="E47" s="28"/>
      <c r="F47" s="28"/>
    </row>
    <row r="48" spans="1:6" ht="13.5" thickBot="1">
      <c r="A48" s="14" t="s">
        <v>29</v>
      </c>
      <c r="B48" s="9"/>
      <c r="C48" s="31">
        <f>C18+C33+C44+C46</f>
        <v>263573</v>
      </c>
      <c r="D48" s="31">
        <f>D46+D44+D33+D18</f>
        <v>128488.92000000001</v>
      </c>
      <c r="E48" s="31">
        <f>E46+E44+E33+E18</f>
        <v>236241.40999999997</v>
      </c>
      <c r="F48" s="31">
        <f>F46+F44+F33+F18</f>
        <v>318430</v>
      </c>
    </row>
    <row r="49" spans="1:6" ht="12.75">
      <c r="A49" s="15"/>
      <c r="B49" s="9"/>
      <c r="C49" s="28"/>
      <c r="D49" s="28"/>
      <c r="E49" s="28"/>
      <c r="F49" s="28"/>
    </row>
    <row r="50" spans="1:6" ht="12.75">
      <c r="A50" s="12" t="s">
        <v>44</v>
      </c>
      <c r="B50" s="9"/>
      <c r="C50" s="26"/>
      <c r="D50" s="26"/>
      <c r="E50" s="26"/>
      <c r="F50" s="26"/>
    </row>
    <row r="51" spans="1:7" ht="12.75">
      <c r="A51" s="13" t="s">
        <v>46</v>
      </c>
      <c r="B51" s="9"/>
      <c r="C51" s="26">
        <v>118776</v>
      </c>
      <c r="D51" s="26">
        <v>94334.58</v>
      </c>
      <c r="E51" s="26">
        <v>94355</v>
      </c>
      <c r="F51" s="26">
        <v>101520</v>
      </c>
      <c r="G51" s="5" t="s">
        <v>53</v>
      </c>
    </row>
    <row r="52" spans="1:6" ht="12.75">
      <c r="A52" s="13" t="s">
        <v>45</v>
      </c>
      <c r="B52" s="9"/>
      <c r="C52" s="26"/>
      <c r="D52" s="26"/>
      <c r="E52" s="26">
        <f>D52/9*12</f>
        <v>0</v>
      </c>
      <c r="F52" s="40"/>
    </row>
    <row r="53" spans="1:6" ht="12.75">
      <c r="A53" s="13" t="s">
        <v>40</v>
      </c>
      <c r="B53" s="9"/>
      <c r="C53" s="32">
        <v>35000</v>
      </c>
      <c r="D53" s="32">
        <v>8561.38</v>
      </c>
      <c r="E53" s="26">
        <f>D53/9*12</f>
        <v>11415.173333333332</v>
      </c>
      <c r="F53" s="41">
        <v>35000</v>
      </c>
    </row>
    <row r="54" spans="1:6" ht="13.5" thickBot="1">
      <c r="A54" s="13" t="s">
        <v>43</v>
      </c>
      <c r="B54" s="9"/>
      <c r="C54" s="32">
        <v>29000</v>
      </c>
      <c r="D54" s="32">
        <v>17803.48</v>
      </c>
      <c r="E54" s="32">
        <f>D54/9*12</f>
        <v>23737.97333333333</v>
      </c>
      <c r="F54" s="32">
        <v>29000</v>
      </c>
    </row>
    <row r="55" spans="1:6" ht="13.5" thickBot="1">
      <c r="A55" s="14" t="s">
        <v>30</v>
      </c>
      <c r="B55" s="9"/>
      <c r="C55" s="31">
        <f>SUM(C51:C54)</f>
        <v>182776</v>
      </c>
      <c r="D55" s="31">
        <f>SUM(D51:D54)</f>
        <v>120699.44</v>
      </c>
      <c r="E55" s="31">
        <f>SUM(E51:E54)</f>
        <v>129508.14666666667</v>
      </c>
      <c r="F55" s="31">
        <f>SUM(F51:F54)</f>
        <v>165520</v>
      </c>
    </row>
    <row r="56" spans="1:20" s="6" customFormat="1" ht="12.75">
      <c r="A56" s="15"/>
      <c r="B56" s="9"/>
      <c r="C56" s="33"/>
      <c r="D56" s="33"/>
      <c r="E56" s="33"/>
      <c r="F56" s="3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>
      <c r="A57" s="1"/>
      <c r="B57" s="22"/>
      <c r="C57" s="34"/>
      <c r="D57" s="34"/>
      <c r="E57" s="34"/>
      <c r="F57" s="34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6" ht="12.75">
      <c r="A58" s="10"/>
      <c r="B58" s="7"/>
      <c r="C58" s="35"/>
      <c r="D58" s="35"/>
      <c r="E58" s="35"/>
      <c r="F58" s="35"/>
    </row>
    <row r="60" ht="12.75">
      <c r="A60" s="5" t="s">
        <v>36</v>
      </c>
    </row>
    <row r="63" ht="12.75">
      <c r="A63" s="5" t="s">
        <v>37</v>
      </c>
    </row>
    <row r="64" ht="12.75">
      <c r="A64" s="5" t="s">
        <v>38</v>
      </c>
    </row>
    <row r="65" ht="12.75">
      <c r="A65" s="5" t="s">
        <v>41</v>
      </c>
    </row>
  </sheetData>
  <sheetProtection/>
  <mergeCells count="5">
    <mergeCell ref="E6:E7"/>
    <mergeCell ref="F6:F7"/>
    <mergeCell ref="B6:B7"/>
    <mergeCell ref="D6:D7"/>
    <mergeCell ref="C6:C7"/>
  </mergeCells>
  <printOptions/>
  <pageMargins left="0.36" right="0.7" top="0.31" bottom="0.31" header="0.3" footer="0.3"/>
  <pageSetup fitToHeight="1" fitToWidth="1" horizontalDpi="300" verticalDpi="300" orientation="landscape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34.00390625" style="0" customWidth="1"/>
    <col min="2" max="3" width="0" style="0" hidden="1" customWidth="1"/>
    <col min="4" max="4" width="18.28125" style="0" hidden="1" customWidth="1"/>
    <col min="5" max="5" width="10.7109375" style="63" bestFit="1" customWidth="1"/>
    <col min="6" max="7" width="9.28125" style="63" bestFit="1" customWidth="1"/>
  </cols>
  <sheetData>
    <row r="2" spans="1:7" ht="14.25">
      <c r="A2" s="59" t="s">
        <v>67</v>
      </c>
      <c r="B2" s="45"/>
      <c r="C2" s="45"/>
      <c r="D2" s="45"/>
      <c r="E2" s="64"/>
      <c r="F2" s="64"/>
      <c r="G2" s="64"/>
    </row>
    <row r="4" spans="1:7" ht="14.25">
      <c r="A4" s="45"/>
      <c r="B4" s="45"/>
      <c r="C4" s="46">
        <v>2013</v>
      </c>
      <c r="D4" s="45"/>
      <c r="E4" s="64"/>
      <c r="F4" s="65" t="s">
        <v>68</v>
      </c>
      <c r="G4" s="64"/>
    </row>
    <row r="5" spans="1:7" ht="14.25">
      <c r="A5" s="60" t="s">
        <v>69</v>
      </c>
      <c r="B5" s="47" t="s">
        <v>70</v>
      </c>
      <c r="C5" s="47" t="s">
        <v>71</v>
      </c>
      <c r="D5" s="47" t="s">
        <v>71</v>
      </c>
      <c r="E5" s="65" t="s">
        <v>55</v>
      </c>
      <c r="F5" s="65" t="s">
        <v>71</v>
      </c>
      <c r="G5" s="65" t="s">
        <v>71</v>
      </c>
    </row>
    <row r="6" spans="1:7" ht="14.25">
      <c r="A6" s="60" t="s">
        <v>72</v>
      </c>
      <c r="B6" s="47" t="s">
        <v>56</v>
      </c>
      <c r="C6" s="47" t="s">
        <v>57</v>
      </c>
      <c r="D6" s="47" t="s">
        <v>73</v>
      </c>
      <c r="E6" s="64"/>
      <c r="F6" s="65" t="s">
        <v>57</v>
      </c>
      <c r="G6" s="65" t="s">
        <v>58</v>
      </c>
    </row>
    <row r="7" spans="1:7" ht="14.25">
      <c r="A7" s="45"/>
      <c r="B7" s="47" t="s">
        <v>74</v>
      </c>
      <c r="C7" s="47" t="s">
        <v>59</v>
      </c>
      <c r="D7" s="47" t="s">
        <v>75</v>
      </c>
      <c r="E7" s="64"/>
      <c r="F7" s="65" t="s">
        <v>59</v>
      </c>
      <c r="G7" s="65" t="s">
        <v>60</v>
      </c>
    </row>
    <row r="8" spans="1:7" ht="14.25">
      <c r="A8" s="61" t="s">
        <v>76</v>
      </c>
      <c r="B8" s="45"/>
      <c r="C8" s="45"/>
      <c r="D8" s="45"/>
      <c r="E8" s="64"/>
      <c r="F8" s="64"/>
      <c r="G8" s="64"/>
    </row>
    <row r="9" spans="1:7" ht="14.25">
      <c r="A9" s="60" t="s">
        <v>4</v>
      </c>
      <c r="B9" s="48">
        <v>20400</v>
      </c>
      <c r="C9" s="49">
        <v>7.76</v>
      </c>
      <c r="D9" s="49">
        <v>7.76</v>
      </c>
      <c r="E9" s="65">
        <v>21012</v>
      </c>
      <c r="F9" s="65">
        <v>8</v>
      </c>
      <c r="G9" s="65">
        <v>8</v>
      </c>
    </row>
    <row r="10" spans="1:7" ht="14.25">
      <c r="A10" s="60" t="s">
        <v>5</v>
      </c>
      <c r="B10" s="48">
        <v>4500</v>
      </c>
      <c r="C10" s="49">
        <v>1.71</v>
      </c>
      <c r="D10" s="49">
        <v>1.71</v>
      </c>
      <c r="E10" s="65">
        <v>4000</v>
      </c>
      <c r="F10" s="65">
        <v>1.52</v>
      </c>
      <c r="G10" s="65">
        <v>1.52</v>
      </c>
    </row>
    <row r="11" spans="1:7" ht="14.25">
      <c r="A11" s="60" t="s">
        <v>6</v>
      </c>
      <c r="B11" s="48">
        <v>15000</v>
      </c>
      <c r="C11" s="49">
        <v>5.71</v>
      </c>
      <c r="D11" s="49">
        <v>5.71</v>
      </c>
      <c r="E11" s="65">
        <v>15000</v>
      </c>
      <c r="F11" s="65">
        <v>5.71</v>
      </c>
      <c r="G11" s="65">
        <v>5.71</v>
      </c>
    </row>
    <row r="12" spans="1:7" ht="14.25">
      <c r="A12" s="60" t="s">
        <v>7</v>
      </c>
      <c r="B12" s="48">
        <v>5000</v>
      </c>
      <c r="C12" s="50">
        <v>1.9</v>
      </c>
      <c r="D12" s="50">
        <v>1.9</v>
      </c>
      <c r="E12" s="65">
        <v>0</v>
      </c>
      <c r="F12" s="65">
        <v>0</v>
      </c>
      <c r="G12" s="65">
        <v>0</v>
      </c>
    </row>
    <row r="13" spans="1:7" ht="14.25">
      <c r="A13" s="60" t="s">
        <v>8</v>
      </c>
      <c r="B13" s="48">
        <v>18073</v>
      </c>
      <c r="C13" s="49">
        <v>6.88</v>
      </c>
      <c r="D13" s="49">
        <v>6.88</v>
      </c>
      <c r="E13" s="65">
        <v>19981</v>
      </c>
      <c r="F13" s="65">
        <v>7.6</v>
      </c>
      <c r="G13" s="65">
        <v>7.6</v>
      </c>
    </row>
    <row r="14" spans="1:7" ht="14.25">
      <c r="A14" s="62" t="s">
        <v>77</v>
      </c>
      <c r="B14" s="51">
        <v>68000</v>
      </c>
      <c r="C14" s="52">
        <v>43.26</v>
      </c>
      <c r="D14" s="53">
        <v>0</v>
      </c>
      <c r="E14" s="66">
        <v>118776</v>
      </c>
      <c r="F14" s="67">
        <v>45.2</v>
      </c>
      <c r="G14" s="67">
        <v>45.2</v>
      </c>
    </row>
    <row r="15" spans="1:7" ht="14.25">
      <c r="A15" s="60" t="s">
        <v>78</v>
      </c>
      <c r="B15" s="48">
        <v>3000</v>
      </c>
      <c r="C15" s="49">
        <v>1.14</v>
      </c>
      <c r="D15" s="49">
        <v>1.14</v>
      </c>
      <c r="E15" s="65">
        <v>0</v>
      </c>
      <c r="F15" s="65">
        <v>0</v>
      </c>
      <c r="G15" s="65">
        <v>0</v>
      </c>
    </row>
    <row r="16" spans="1:7" ht="14.25">
      <c r="A16" s="60" t="s">
        <v>9</v>
      </c>
      <c r="B16" s="48">
        <v>5000</v>
      </c>
      <c r="C16" s="50">
        <v>1.9</v>
      </c>
      <c r="D16" s="50">
        <v>1.9</v>
      </c>
      <c r="E16" s="65">
        <v>5500</v>
      </c>
      <c r="F16" s="65">
        <v>2.09</v>
      </c>
      <c r="G16" s="65">
        <v>2.09</v>
      </c>
    </row>
    <row r="17" spans="1:7" ht="14.25">
      <c r="A17" s="60" t="s">
        <v>10</v>
      </c>
      <c r="B17" s="48">
        <v>30000</v>
      </c>
      <c r="C17" s="49">
        <v>11.42</v>
      </c>
      <c r="D17" s="49">
        <v>11.42</v>
      </c>
      <c r="E17" s="65">
        <v>20000</v>
      </c>
      <c r="F17" s="65">
        <v>7.61</v>
      </c>
      <c r="G17" s="65">
        <v>7.61</v>
      </c>
    </row>
    <row r="18" spans="1:7" ht="14.25">
      <c r="A18" s="60" t="s">
        <v>79</v>
      </c>
      <c r="B18" s="50">
        <v>0</v>
      </c>
      <c r="C18" s="50">
        <v>0</v>
      </c>
      <c r="D18" s="50">
        <v>0</v>
      </c>
      <c r="E18" s="65">
        <v>56000</v>
      </c>
      <c r="F18" s="65">
        <v>21.31</v>
      </c>
      <c r="G18" s="65">
        <v>21.31</v>
      </c>
    </row>
    <row r="19" spans="1:7" ht="14.25">
      <c r="A19" s="61" t="s">
        <v>0</v>
      </c>
      <c r="B19" s="54">
        <v>168973</v>
      </c>
      <c r="C19" s="49">
        <v>81.68</v>
      </c>
      <c r="D19" s="49">
        <v>38.42</v>
      </c>
      <c r="E19" s="65">
        <v>148269</v>
      </c>
      <c r="F19" s="65">
        <v>56.42</v>
      </c>
      <c r="G19" s="65">
        <v>56.42</v>
      </c>
    </row>
    <row r="20" spans="1:7" ht="14.25">
      <c r="A20" s="61" t="s">
        <v>11</v>
      </c>
      <c r="B20" s="45"/>
      <c r="C20" s="45"/>
      <c r="D20" s="45"/>
      <c r="E20" s="64"/>
      <c r="F20" s="64"/>
      <c r="G20" s="64"/>
    </row>
    <row r="21" spans="1:7" ht="14.25">
      <c r="A21" s="60" t="s">
        <v>80</v>
      </c>
      <c r="B21" s="54">
        <v>13500</v>
      </c>
      <c r="C21" s="49">
        <v>5.14</v>
      </c>
      <c r="D21" s="49">
        <v>5.14</v>
      </c>
      <c r="E21" s="65">
        <v>14500</v>
      </c>
      <c r="F21" s="65">
        <v>5.52</v>
      </c>
      <c r="G21" s="65">
        <v>5.52</v>
      </c>
    </row>
    <row r="22" spans="1:7" ht="14.25">
      <c r="A22" s="60" t="s">
        <v>81</v>
      </c>
      <c r="B22" s="54">
        <v>30660</v>
      </c>
      <c r="C22" s="49">
        <v>11.67</v>
      </c>
      <c r="D22" s="49">
        <v>11.67</v>
      </c>
      <c r="E22" s="65">
        <v>33000</v>
      </c>
      <c r="F22" s="65">
        <v>12.56</v>
      </c>
      <c r="G22" s="65">
        <v>12.56</v>
      </c>
    </row>
    <row r="23" spans="1:7" ht="14.25">
      <c r="A23" s="60" t="s">
        <v>82</v>
      </c>
      <c r="B23" s="54">
        <v>35000</v>
      </c>
      <c r="C23" s="49">
        <v>13.32</v>
      </c>
      <c r="D23" s="49">
        <v>13.32</v>
      </c>
      <c r="E23" s="65">
        <v>35000</v>
      </c>
      <c r="F23" s="65">
        <v>13.32</v>
      </c>
      <c r="G23" s="65">
        <v>13.32</v>
      </c>
    </row>
    <row r="24" spans="1:7" ht="14.25">
      <c r="A24" s="60" t="s">
        <v>13</v>
      </c>
      <c r="B24" s="54">
        <v>2000</v>
      </c>
      <c r="C24" s="49">
        <v>0.76</v>
      </c>
      <c r="D24" s="49">
        <v>0.76</v>
      </c>
      <c r="E24" s="65">
        <v>1000</v>
      </c>
      <c r="F24" s="65">
        <v>0.38</v>
      </c>
      <c r="G24" s="65">
        <v>0.38</v>
      </c>
    </row>
    <row r="25" spans="1:7" ht="14.25">
      <c r="A25" s="60" t="s">
        <v>14</v>
      </c>
      <c r="B25" s="54">
        <v>14000</v>
      </c>
      <c r="C25" s="49">
        <v>5.33</v>
      </c>
      <c r="D25" s="49">
        <v>5.33</v>
      </c>
      <c r="E25" s="65">
        <v>14000</v>
      </c>
      <c r="F25" s="65">
        <v>5.33</v>
      </c>
      <c r="G25" s="65">
        <v>5.33</v>
      </c>
    </row>
    <row r="26" spans="1:7" ht="14.25">
      <c r="A26" s="60" t="s">
        <v>15</v>
      </c>
      <c r="B26" s="54">
        <v>8000</v>
      </c>
      <c r="C26" s="49">
        <v>3.04</v>
      </c>
      <c r="D26" s="49">
        <v>3.04</v>
      </c>
      <c r="E26" s="65">
        <v>5000</v>
      </c>
      <c r="F26" s="65">
        <v>1.9</v>
      </c>
      <c r="G26" s="65">
        <v>1.9</v>
      </c>
    </row>
    <row r="27" spans="1:7" ht="14.25">
      <c r="A27" s="60" t="s">
        <v>83</v>
      </c>
      <c r="B27" s="54">
        <v>35000</v>
      </c>
      <c r="C27" s="49">
        <v>13.32</v>
      </c>
      <c r="D27" s="49">
        <v>13.32</v>
      </c>
      <c r="E27" s="65">
        <v>36000</v>
      </c>
      <c r="F27" s="65">
        <v>13.7</v>
      </c>
      <c r="G27" s="65">
        <v>13.7</v>
      </c>
    </row>
    <row r="28" spans="1:7" ht="14.25">
      <c r="A28" s="60" t="s">
        <v>17</v>
      </c>
      <c r="B28" s="54">
        <v>4500</v>
      </c>
      <c r="C28" s="49">
        <v>1.71</v>
      </c>
      <c r="D28" s="49">
        <v>1.71</v>
      </c>
      <c r="E28" s="65">
        <v>5000</v>
      </c>
      <c r="F28" s="65">
        <v>1.9</v>
      </c>
      <c r="G28" s="65">
        <v>1.9</v>
      </c>
    </row>
    <row r="29" spans="1:7" ht="14.25">
      <c r="A29" s="60" t="s">
        <v>27</v>
      </c>
      <c r="B29" s="54">
        <v>1500</v>
      </c>
      <c r="C29" s="49">
        <v>0.57</v>
      </c>
      <c r="D29" s="49">
        <v>0.57</v>
      </c>
      <c r="E29" s="65">
        <v>1500</v>
      </c>
      <c r="F29" s="65">
        <v>0.57</v>
      </c>
      <c r="G29" s="65">
        <v>0.57</v>
      </c>
    </row>
    <row r="30" spans="1:7" ht="14.25">
      <c r="A30" s="60" t="s">
        <v>18</v>
      </c>
      <c r="B30" s="54">
        <v>22000</v>
      </c>
      <c r="C30" s="49">
        <v>8.37</v>
      </c>
      <c r="D30" s="49">
        <v>8.37</v>
      </c>
      <c r="E30" s="65">
        <v>22000</v>
      </c>
      <c r="F30" s="65">
        <v>8.37</v>
      </c>
      <c r="G30" s="65">
        <v>8.37</v>
      </c>
    </row>
    <row r="31" spans="1:7" ht="14.25">
      <c r="A31" s="60" t="s">
        <v>19</v>
      </c>
      <c r="B31" s="54">
        <v>7000</v>
      </c>
      <c r="C31" s="49">
        <v>2.66</v>
      </c>
      <c r="D31" s="49">
        <v>2.66</v>
      </c>
      <c r="E31" s="65">
        <v>7000</v>
      </c>
      <c r="F31" s="65">
        <v>2.66</v>
      </c>
      <c r="G31" s="65">
        <v>2.66</v>
      </c>
    </row>
    <row r="32" spans="1:7" ht="14.25">
      <c r="A32" s="62" t="s">
        <v>84</v>
      </c>
      <c r="B32" s="55">
        <v>35000</v>
      </c>
      <c r="C32" s="52">
        <v>22.26</v>
      </c>
      <c r="D32" s="53">
        <v>0</v>
      </c>
      <c r="E32" s="66">
        <v>35000</v>
      </c>
      <c r="F32" s="67">
        <v>13.32</v>
      </c>
      <c r="G32" s="65">
        <v>13.32</v>
      </c>
    </row>
    <row r="33" spans="1:7" ht="14.25">
      <c r="A33" s="60" t="s">
        <v>20</v>
      </c>
      <c r="B33" s="54">
        <v>21000</v>
      </c>
      <c r="C33" s="49">
        <v>7.99</v>
      </c>
      <c r="D33" s="49">
        <v>7.99</v>
      </c>
      <c r="E33" s="65">
        <v>17000</v>
      </c>
      <c r="F33" s="65">
        <v>6.47</v>
      </c>
      <c r="G33" s="65">
        <v>6.47</v>
      </c>
    </row>
    <row r="34" spans="1:7" ht="14.25">
      <c r="A34" s="61" t="s">
        <v>0</v>
      </c>
      <c r="B34" s="54">
        <v>229160</v>
      </c>
      <c r="C34" s="49">
        <v>96.15</v>
      </c>
      <c r="D34" s="49">
        <v>73.88</v>
      </c>
      <c r="E34" s="65">
        <v>226000</v>
      </c>
      <c r="F34" s="65">
        <v>86</v>
      </c>
      <c r="G34" s="65">
        <v>86</v>
      </c>
    </row>
    <row r="35" spans="1:7" ht="14.25">
      <c r="A35" s="61" t="s">
        <v>21</v>
      </c>
      <c r="B35" s="45"/>
      <c r="C35" s="45"/>
      <c r="D35" s="45"/>
      <c r="E35" s="64"/>
      <c r="F35" s="64"/>
      <c r="G35" s="64"/>
    </row>
    <row r="36" spans="1:7" ht="14.25">
      <c r="A36" s="60" t="s">
        <v>85</v>
      </c>
      <c r="B36" s="54">
        <v>6000</v>
      </c>
      <c r="C36" s="49">
        <v>2.28</v>
      </c>
      <c r="D36" s="49">
        <v>2.28</v>
      </c>
      <c r="E36" s="65">
        <v>6000</v>
      </c>
      <c r="F36" s="65">
        <v>2.28</v>
      </c>
      <c r="G36" s="65">
        <v>2.28</v>
      </c>
    </row>
    <row r="37" spans="1:7" ht="14.25">
      <c r="A37" s="60" t="s">
        <v>22</v>
      </c>
      <c r="B37" s="54">
        <v>6000</v>
      </c>
      <c r="C37" s="49">
        <v>2.28</v>
      </c>
      <c r="D37" s="49">
        <v>2.28</v>
      </c>
      <c r="E37" s="65">
        <v>6000</v>
      </c>
      <c r="F37" s="65">
        <v>2.28</v>
      </c>
      <c r="G37" s="65">
        <v>2.28</v>
      </c>
    </row>
    <row r="38" spans="1:7" ht="14.25">
      <c r="A38" s="60" t="s">
        <v>23</v>
      </c>
      <c r="B38" s="54">
        <v>6000</v>
      </c>
      <c r="C38" s="49">
        <v>2.28</v>
      </c>
      <c r="D38" s="49">
        <v>2.28</v>
      </c>
      <c r="E38" s="65">
        <v>7000</v>
      </c>
      <c r="F38" s="65">
        <v>2.66</v>
      </c>
      <c r="G38" s="65">
        <v>2.66</v>
      </c>
    </row>
    <row r="39" spans="1:7" ht="14.25">
      <c r="A39" s="60" t="s">
        <v>24</v>
      </c>
      <c r="B39" s="54">
        <v>1500</v>
      </c>
      <c r="C39" s="49">
        <v>0.57</v>
      </c>
      <c r="D39" s="49">
        <v>0.57</v>
      </c>
      <c r="E39" s="65">
        <v>2000</v>
      </c>
      <c r="F39" s="65">
        <v>0.76</v>
      </c>
      <c r="G39" s="65">
        <v>0.76</v>
      </c>
    </row>
    <row r="40" spans="1:7" ht="14.25">
      <c r="A40" s="60" t="s">
        <v>86</v>
      </c>
      <c r="B40" s="50">
        <v>0</v>
      </c>
      <c r="C40" s="50">
        <v>0</v>
      </c>
      <c r="D40" s="50">
        <v>0</v>
      </c>
      <c r="E40" s="65">
        <v>1080</v>
      </c>
      <c r="F40" s="65">
        <v>0.41</v>
      </c>
      <c r="G40" s="65">
        <v>0.41</v>
      </c>
    </row>
    <row r="41" spans="1:7" ht="14.25">
      <c r="A41" s="60" t="s">
        <v>87</v>
      </c>
      <c r="B41" s="54">
        <v>2500</v>
      </c>
      <c r="C41" s="49">
        <v>0.95</v>
      </c>
      <c r="D41" s="49">
        <v>0.95</v>
      </c>
      <c r="E41" s="65">
        <v>2500</v>
      </c>
      <c r="F41" s="65">
        <v>0.95</v>
      </c>
      <c r="G41" s="65">
        <v>0.95</v>
      </c>
    </row>
    <row r="42" spans="1:7" ht="14.25">
      <c r="A42" s="60" t="s">
        <v>25</v>
      </c>
      <c r="B42" s="54">
        <v>12000</v>
      </c>
      <c r="C42" s="49">
        <v>4.57</v>
      </c>
      <c r="D42" s="49">
        <v>4.57</v>
      </c>
      <c r="E42" s="65">
        <v>10000</v>
      </c>
      <c r="F42" s="65">
        <v>3.81</v>
      </c>
      <c r="G42" s="65">
        <v>3.81</v>
      </c>
    </row>
    <row r="43" spans="1:7" ht="14.25">
      <c r="A43" s="60" t="s">
        <v>26</v>
      </c>
      <c r="B43" s="54">
        <v>10000</v>
      </c>
      <c r="C43" s="49">
        <v>3.81</v>
      </c>
      <c r="D43" s="49">
        <v>3.81</v>
      </c>
      <c r="E43" s="65">
        <v>10000</v>
      </c>
      <c r="F43" s="65">
        <v>3.81</v>
      </c>
      <c r="G43" s="65">
        <v>3.81</v>
      </c>
    </row>
    <row r="44" spans="1:7" ht="14.25">
      <c r="A44" s="61" t="s">
        <v>0</v>
      </c>
      <c r="B44" s="54">
        <v>44000</v>
      </c>
      <c r="C44" s="49">
        <v>16.74</v>
      </c>
      <c r="D44" s="49">
        <v>16.74</v>
      </c>
      <c r="E44" s="65">
        <v>44580</v>
      </c>
      <c r="F44" s="65">
        <v>16.96</v>
      </c>
      <c r="G44" s="65">
        <v>16.96</v>
      </c>
    </row>
    <row r="45" spans="1:7" ht="14.25">
      <c r="A45" s="61" t="s">
        <v>88</v>
      </c>
      <c r="B45" s="45"/>
      <c r="C45" s="45"/>
      <c r="D45" s="45"/>
      <c r="E45" s="64"/>
      <c r="F45" s="64"/>
      <c r="G45" s="64"/>
    </row>
    <row r="46" spans="1:7" ht="14.25">
      <c r="A46" s="62" t="s">
        <v>89</v>
      </c>
      <c r="B46" s="55">
        <v>29000</v>
      </c>
      <c r="C46" s="52">
        <v>18.45</v>
      </c>
      <c r="D46" s="53">
        <v>0</v>
      </c>
      <c r="E46" s="66">
        <v>29000</v>
      </c>
      <c r="F46" s="67">
        <v>18.45</v>
      </c>
      <c r="G46" s="68">
        <v>0</v>
      </c>
    </row>
    <row r="47" spans="1:7" ht="14.25">
      <c r="A47" s="61" t="s">
        <v>90</v>
      </c>
      <c r="B47" s="54">
        <v>29000</v>
      </c>
      <c r="C47" s="49">
        <v>18.45</v>
      </c>
      <c r="D47" s="50">
        <v>0</v>
      </c>
      <c r="E47" s="65">
        <v>29000</v>
      </c>
      <c r="F47" s="65">
        <v>18.45</v>
      </c>
      <c r="G47" s="65">
        <v>0</v>
      </c>
    </row>
    <row r="48" spans="1:7" ht="14.25">
      <c r="A48" s="61" t="s">
        <v>91</v>
      </c>
      <c r="B48" s="45"/>
      <c r="C48" s="45"/>
      <c r="D48" s="45"/>
      <c r="E48" s="64"/>
      <c r="F48" s="64"/>
      <c r="G48" s="64"/>
    </row>
    <row r="49" spans="1:7" ht="14.25">
      <c r="A49" s="60" t="s">
        <v>92</v>
      </c>
      <c r="B49" s="54">
        <v>8675</v>
      </c>
      <c r="C49" s="50">
        <v>3.3</v>
      </c>
      <c r="D49" s="50">
        <v>3.3</v>
      </c>
      <c r="E49" s="65">
        <v>37051</v>
      </c>
      <c r="F49" s="65">
        <v>14.1</v>
      </c>
      <c r="G49" s="65">
        <v>14.1</v>
      </c>
    </row>
    <row r="50" spans="1:7" ht="14.25">
      <c r="A50" s="60" t="s">
        <v>93</v>
      </c>
      <c r="B50" s="54">
        <v>45715</v>
      </c>
      <c r="C50" s="49">
        <v>29.08</v>
      </c>
      <c r="D50" s="50">
        <v>0</v>
      </c>
      <c r="E50" s="65">
        <v>70541</v>
      </c>
      <c r="F50" s="65">
        <v>44.87</v>
      </c>
      <c r="G50" s="65">
        <v>0</v>
      </c>
    </row>
    <row r="51" spans="1:7" ht="14.25">
      <c r="A51" s="60" t="s">
        <v>94</v>
      </c>
      <c r="B51" s="50">
        <v>0</v>
      </c>
      <c r="C51" s="50">
        <v>0</v>
      </c>
      <c r="D51" s="50">
        <v>0</v>
      </c>
      <c r="E51" s="65">
        <v>47382</v>
      </c>
      <c r="F51" s="64"/>
      <c r="G51" s="65">
        <v>44.87</v>
      </c>
    </row>
    <row r="52" spans="1:7" ht="14.25">
      <c r="A52" s="61" t="s">
        <v>0</v>
      </c>
      <c r="B52" s="54">
        <v>54390</v>
      </c>
      <c r="C52" s="49">
        <v>32.38</v>
      </c>
      <c r="D52" s="50">
        <v>3.3</v>
      </c>
      <c r="E52" s="65">
        <v>154974</v>
      </c>
      <c r="F52" s="65">
        <v>58.97</v>
      </c>
      <c r="G52" s="65">
        <v>58.97</v>
      </c>
    </row>
    <row r="53" spans="1:7" ht="14.25">
      <c r="A53" s="62" t="s">
        <v>95</v>
      </c>
      <c r="B53" s="56">
        <v>471133</v>
      </c>
      <c r="C53" s="57">
        <v>213.02</v>
      </c>
      <c r="D53" s="57">
        <v>129.05</v>
      </c>
      <c r="E53" s="65">
        <v>447849</v>
      </c>
      <c r="F53" s="65">
        <v>177.83</v>
      </c>
      <c r="G53" s="65">
        <v>159.38</v>
      </c>
    </row>
    <row r="54" spans="1:7" ht="14.25">
      <c r="A54" s="62" t="s">
        <v>96</v>
      </c>
      <c r="B54" s="56">
        <v>54390</v>
      </c>
      <c r="C54" s="57">
        <v>32.38</v>
      </c>
      <c r="D54" s="57">
        <v>3.3</v>
      </c>
      <c r="E54" s="65">
        <v>154974</v>
      </c>
      <c r="F54" s="65">
        <v>58.97</v>
      </c>
      <c r="G54" s="65">
        <v>58.97</v>
      </c>
    </row>
    <row r="55" spans="1:7" ht="14.25">
      <c r="A55" s="62" t="s">
        <v>97</v>
      </c>
      <c r="B55" s="56">
        <v>525523</v>
      </c>
      <c r="C55" s="57">
        <v>245.4</v>
      </c>
      <c r="D55" s="57">
        <v>132.35</v>
      </c>
      <c r="E55" s="65">
        <v>602823</v>
      </c>
      <c r="F55" s="65">
        <v>236.8</v>
      </c>
      <c r="G55" s="65">
        <v>218.35</v>
      </c>
    </row>
    <row r="56" spans="1:7" ht="14.25">
      <c r="A56" s="62" t="s">
        <v>98</v>
      </c>
      <c r="B56" s="45"/>
      <c r="C56" s="58">
        <v>245.4</v>
      </c>
      <c r="D56" s="58">
        <v>132.35</v>
      </c>
      <c r="E56" s="64"/>
      <c r="F56" s="67">
        <v>236.8</v>
      </c>
      <c r="G56" s="67">
        <v>218.35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1" sqref="D31"/>
    </sheetView>
  </sheetViews>
  <sheetFormatPr defaultColWidth="9.140625" defaultRowHeight="15"/>
  <cols>
    <col min="1" max="1" width="23.00390625" style="80" customWidth="1"/>
    <col min="2" max="2" width="34.7109375" style="80" bestFit="1" customWidth="1"/>
    <col min="3" max="3" width="16.28125" style="131" customWidth="1"/>
    <col min="4" max="4" width="7.7109375" style="84" customWidth="1"/>
    <col min="5" max="5" width="10.57421875" style="84" customWidth="1"/>
    <col min="6" max="6" width="16.7109375" style="82" customWidth="1"/>
    <col min="7" max="7" width="16.28125" style="82" customWidth="1"/>
    <col min="8" max="8" width="13.8515625" style="82" hidden="1" customWidth="1"/>
    <col min="9" max="9" width="16.140625" style="82" customWidth="1"/>
    <col min="10" max="10" width="14.140625" style="82" customWidth="1"/>
    <col min="11" max="11" width="11.140625" style="80" customWidth="1"/>
    <col min="13" max="13" width="15.7109375" style="0" customWidth="1"/>
    <col min="15" max="15" width="10.7109375" style="0" bestFit="1" customWidth="1"/>
  </cols>
  <sheetData>
    <row r="1" ht="14.25">
      <c r="A1" s="129" t="s">
        <v>195</v>
      </c>
    </row>
    <row r="2" ht="14.25">
      <c r="A2" s="130" t="s">
        <v>211</v>
      </c>
    </row>
    <row r="3" ht="14.25">
      <c r="A3" s="129" t="s">
        <v>230</v>
      </c>
    </row>
    <row r="4" ht="14.25">
      <c r="A4" s="129" t="s">
        <v>231</v>
      </c>
    </row>
    <row r="5" ht="14.25">
      <c r="A5" s="130"/>
    </row>
    <row r="6" spans="3:11" ht="28.5">
      <c r="C6" s="131" t="s">
        <v>196</v>
      </c>
      <c r="D6" s="81" t="s">
        <v>130</v>
      </c>
      <c r="E6" s="81" t="s">
        <v>218</v>
      </c>
      <c r="F6" s="141" t="s">
        <v>222</v>
      </c>
      <c r="G6" s="141" t="s">
        <v>131</v>
      </c>
      <c r="H6" s="156" t="s">
        <v>232</v>
      </c>
      <c r="I6" s="141" t="s">
        <v>233</v>
      </c>
      <c r="J6" s="141" t="s">
        <v>129</v>
      </c>
      <c r="K6" s="81" t="s">
        <v>128</v>
      </c>
    </row>
    <row r="7" spans="1:13" ht="14.25">
      <c r="A7" s="86" t="s">
        <v>100</v>
      </c>
      <c r="D7" s="81"/>
      <c r="E7" s="81"/>
      <c r="F7" s="83"/>
      <c r="G7" s="83"/>
      <c r="H7" s="157"/>
      <c r="I7" s="83"/>
      <c r="M7" s="169">
        <f>F7+I7</f>
        <v>0</v>
      </c>
    </row>
    <row r="8" spans="1:15" ht="14.25">
      <c r="A8" s="80" t="s">
        <v>100</v>
      </c>
      <c r="B8" s="173" t="s">
        <v>101</v>
      </c>
      <c r="C8" s="174">
        <f>3328+3328+1331</f>
        <v>7987</v>
      </c>
      <c r="D8" s="175">
        <v>20</v>
      </c>
      <c r="E8" s="175">
        <v>0</v>
      </c>
      <c r="F8" s="176">
        <f>2705.71+440*12+1.29</f>
        <v>7987</v>
      </c>
      <c r="G8" s="177">
        <v>0</v>
      </c>
      <c r="H8" s="177" t="e">
        <f aca="true" t="shared" si="0" ref="H8:H15">G8/E8</f>
        <v>#DIV/0!</v>
      </c>
      <c r="I8" s="177" t="s">
        <v>215</v>
      </c>
      <c r="J8" s="177">
        <v>0</v>
      </c>
      <c r="K8" s="178">
        <v>0</v>
      </c>
      <c r="M8" s="169">
        <v>7987</v>
      </c>
      <c r="O8" s="169">
        <f>J8*3</f>
        <v>0</v>
      </c>
    </row>
    <row r="9" spans="1:15" ht="14.25">
      <c r="A9" s="80" t="s">
        <v>100</v>
      </c>
      <c r="B9" s="173" t="s">
        <v>219</v>
      </c>
      <c r="C9" s="174">
        <f>3752+3752+1500</f>
        <v>9004</v>
      </c>
      <c r="D9" s="175">
        <v>12</v>
      </c>
      <c r="E9" s="175">
        <v>0</v>
      </c>
      <c r="F9" s="176">
        <f>5565.64336259312+286*12+6.39</f>
        <v>9004.03336259312</v>
      </c>
      <c r="G9" s="177">
        <v>0</v>
      </c>
      <c r="H9" s="177" t="e">
        <f t="shared" si="0"/>
        <v>#DIV/0!</v>
      </c>
      <c r="I9" s="177" t="s">
        <v>215</v>
      </c>
      <c r="J9" s="177">
        <v>0</v>
      </c>
      <c r="K9" s="178">
        <f aca="true" t="shared" si="1" ref="K9:K15">J9/219</f>
        <v>0</v>
      </c>
      <c r="M9" s="169">
        <v>9004</v>
      </c>
      <c r="O9" s="169">
        <f aca="true" t="shared" si="2" ref="O9:O15">J9*3</f>
        <v>0</v>
      </c>
    </row>
    <row r="10" spans="1:15" ht="14.25">
      <c r="A10" s="80" t="s">
        <v>100</v>
      </c>
      <c r="B10" s="173" t="s">
        <v>132</v>
      </c>
      <c r="C10" s="174">
        <v>30235</v>
      </c>
      <c r="D10" s="175">
        <v>12</v>
      </c>
      <c r="E10" s="175">
        <v>3</v>
      </c>
      <c r="F10" s="176">
        <f>'[1]Reserve Schedule'!$F$10+'[1]Reserve Schedule'!$I$10</f>
        <v>23667.170647243132</v>
      </c>
      <c r="G10" s="177">
        <f aca="true" t="shared" si="3" ref="G10:G15">C10-F10</f>
        <v>6567.829352756868</v>
      </c>
      <c r="H10" s="177">
        <f t="shared" si="0"/>
        <v>2189.276450918956</v>
      </c>
      <c r="I10" s="177">
        <f aca="true" t="shared" si="4" ref="I10:I15">G10/E10</f>
        <v>2189.276450918956</v>
      </c>
      <c r="J10" s="177">
        <f aca="true" t="shared" si="5" ref="J10:J15">I10/12</f>
        <v>182.43970424324633</v>
      </c>
      <c r="K10" s="178">
        <f t="shared" si="1"/>
        <v>0.8330580102431339</v>
      </c>
      <c r="M10" s="169">
        <f aca="true" t="shared" si="6" ref="M10:M68">F10+I10</f>
        <v>25856.447098162087</v>
      </c>
      <c r="O10" s="169">
        <f t="shared" si="2"/>
        <v>547.319112729739</v>
      </c>
    </row>
    <row r="11" spans="1:15" ht="14.25">
      <c r="A11" s="80" t="s">
        <v>100</v>
      </c>
      <c r="B11" s="173" t="s">
        <v>133</v>
      </c>
      <c r="C11" s="174">
        <v>36537</v>
      </c>
      <c r="D11" s="175">
        <v>14</v>
      </c>
      <c r="E11" s="175">
        <v>6</v>
      </c>
      <c r="F11" s="176">
        <f>'[1]Reserve Schedule'!$F$11+'[1]Reserve Schedule'!$I$11</f>
        <v>29428.01002839514</v>
      </c>
      <c r="G11" s="177">
        <f t="shared" si="3"/>
        <v>7108.98997160486</v>
      </c>
      <c r="H11" s="177">
        <f t="shared" si="0"/>
        <v>1184.8316619341433</v>
      </c>
      <c r="I11" s="177">
        <f t="shared" si="4"/>
        <v>1184.8316619341433</v>
      </c>
      <c r="J11" s="177">
        <f t="shared" si="5"/>
        <v>98.73597182784528</v>
      </c>
      <c r="K11" s="178">
        <f t="shared" si="1"/>
        <v>0.45084918642851723</v>
      </c>
      <c r="M11" s="169">
        <f t="shared" si="6"/>
        <v>30612.841690329282</v>
      </c>
      <c r="O11" s="169">
        <f t="shared" si="2"/>
        <v>296.2079154835358</v>
      </c>
    </row>
    <row r="12" spans="1:15" ht="14.25">
      <c r="A12" s="80" t="s">
        <v>100</v>
      </c>
      <c r="B12" s="173" t="s">
        <v>102</v>
      </c>
      <c r="C12" s="174">
        <v>10328</v>
      </c>
      <c r="D12" s="175">
        <v>20</v>
      </c>
      <c r="E12" s="175">
        <v>10</v>
      </c>
      <c r="F12" s="176">
        <f>'[1]Reserve Schedule'!$F$12+'[1]Reserve Schedule'!$I$12</f>
        <v>5028.829109319551</v>
      </c>
      <c r="G12" s="177">
        <f t="shared" si="3"/>
        <v>5299.170890680449</v>
      </c>
      <c r="H12" s="177">
        <f t="shared" si="0"/>
        <v>529.9170890680449</v>
      </c>
      <c r="I12" s="177">
        <f t="shared" si="4"/>
        <v>529.9170890680449</v>
      </c>
      <c r="J12" s="177">
        <f t="shared" si="5"/>
        <v>44.15975742233707</v>
      </c>
      <c r="K12" s="178">
        <f t="shared" si="1"/>
        <v>0.20164272795587704</v>
      </c>
      <c r="M12" s="169">
        <f t="shared" si="6"/>
        <v>5558.746198387596</v>
      </c>
      <c r="O12" s="169">
        <f t="shared" si="2"/>
        <v>132.47927226701123</v>
      </c>
    </row>
    <row r="13" spans="1:15" ht="14.25">
      <c r="A13" s="80" t="s">
        <v>100</v>
      </c>
      <c r="B13" s="173" t="s">
        <v>103</v>
      </c>
      <c r="C13" s="174">
        <v>30419</v>
      </c>
      <c r="D13" s="175">
        <v>20</v>
      </c>
      <c r="E13" s="175">
        <v>5</v>
      </c>
      <c r="F13" s="176">
        <f>'[1]Reserve Schedule'!$F$13+'[1]Reserve Schedule'!$I$13</f>
        <v>16786.450008093136</v>
      </c>
      <c r="G13" s="177">
        <f t="shared" si="3"/>
        <v>13632.549991906864</v>
      </c>
      <c r="H13" s="177">
        <f t="shared" si="0"/>
        <v>2726.509998381373</v>
      </c>
      <c r="I13" s="177">
        <f t="shared" si="4"/>
        <v>2726.509998381373</v>
      </c>
      <c r="J13" s="177">
        <f t="shared" si="5"/>
        <v>227.20916653178108</v>
      </c>
      <c r="K13" s="178">
        <f t="shared" si="1"/>
        <v>1.0374847786839319</v>
      </c>
      <c r="M13" s="169">
        <f t="shared" si="6"/>
        <v>19512.96000647451</v>
      </c>
      <c r="O13" s="169">
        <f t="shared" si="2"/>
        <v>681.6274995953432</v>
      </c>
    </row>
    <row r="14" spans="1:15" ht="14.25">
      <c r="A14" s="80" t="s">
        <v>100</v>
      </c>
      <c r="B14" s="173" t="s">
        <v>104</v>
      </c>
      <c r="C14" s="174">
        <v>9735</v>
      </c>
      <c r="D14" s="175">
        <v>10</v>
      </c>
      <c r="E14" s="175">
        <v>5</v>
      </c>
      <c r="F14" s="176">
        <f>'[1]Reserve Schedule'!$F$14+'[1]Reserve Schedule'!$I$14</f>
        <v>5922.74354661852</v>
      </c>
      <c r="G14" s="177">
        <f t="shared" si="3"/>
        <v>3812.2564533814802</v>
      </c>
      <c r="H14" s="177">
        <f t="shared" si="0"/>
        <v>762.451290676296</v>
      </c>
      <c r="I14" s="177">
        <f t="shared" si="4"/>
        <v>762.451290676296</v>
      </c>
      <c r="J14" s="177">
        <f t="shared" si="5"/>
        <v>63.537607556358005</v>
      </c>
      <c r="K14" s="178">
        <f t="shared" si="1"/>
        <v>0.2901260619011781</v>
      </c>
      <c r="M14" s="169">
        <f t="shared" si="6"/>
        <v>6685.194837294815</v>
      </c>
      <c r="O14" s="169">
        <f t="shared" si="2"/>
        <v>190.612822669074</v>
      </c>
    </row>
    <row r="15" spans="1:15" ht="14.25">
      <c r="A15" s="80" t="s">
        <v>100</v>
      </c>
      <c r="B15" s="173" t="s">
        <v>105</v>
      </c>
      <c r="C15" s="179">
        <v>12293</v>
      </c>
      <c r="D15" s="180">
        <v>20</v>
      </c>
      <c r="E15" s="180">
        <v>5</v>
      </c>
      <c r="F15" s="176">
        <f>'[1]Reserve Schedule'!$F$15+'[1]Reserve Schedule'!$I$15</f>
        <v>11016.790517503992</v>
      </c>
      <c r="G15" s="181">
        <f t="shared" si="3"/>
        <v>1276.2094824960077</v>
      </c>
      <c r="H15" s="181">
        <f t="shared" si="0"/>
        <v>255.24189649920154</v>
      </c>
      <c r="I15" s="181">
        <f t="shared" si="4"/>
        <v>255.24189649920154</v>
      </c>
      <c r="J15" s="181">
        <f t="shared" si="5"/>
        <v>21.27015804160013</v>
      </c>
      <c r="K15" s="182">
        <f t="shared" si="1"/>
        <v>0.09712400932237503</v>
      </c>
      <c r="M15" s="169">
        <f t="shared" si="6"/>
        <v>11272.032414003193</v>
      </c>
      <c r="O15" s="169">
        <f t="shared" si="2"/>
        <v>63.81047412480039</v>
      </c>
    </row>
    <row r="16" spans="1:17" ht="14.25">
      <c r="A16" s="86"/>
      <c r="B16" s="183"/>
      <c r="C16" s="184">
        <f>SUM(C8:C15)</f>
        <v>146538</v>
      </c>
      <c r="D16" s="185"/>
      <c r="E16" s="185"/>
      <c r="F16" s="186">
        <f aca="true" t="shared" si="7" ref="F16:K16">SUM(F8:F15)</f>
        <v>108841.02721976656</v>
      </c>
      <c r="G16" s="186">
        <f t="shared" si="7"/>
        <v>37697.00614282653</v>
      </c>
      <c r="H16" s="186" t="e">
        <f t="shared" si="7"/>
        <v>#DIV/0!</v>
      </c>
      <c r="I16" s="186">
        <f t="shared" si="7"/>
        <v>7648.228387478014</v>
      </c>
      <c r="J16" s="186">
        <f t="shared" si="7"/>
        <v>637.3523656231679</v>
      </c>
      <c r="K16" s="186">
        <f t="shared" si="7"/>
        <v>2.910284774535013</v>
      </c>
      <c r="M16" s="169">
        <f t="shared" si="6"/>
        <v>116489.25560724457</v>
      </c>
      <c r="O16" s="169">
        <f>SUM(O8:O15)</f>
        <v>1912.0570968695035</v>
      </c>
      <c r="Q16">
        <f>58041+2493</f>
        <v>60534</v>
      </c>
    </row>
    <row r="17" spans="1:13" ht="14.25">
      <c r="A17" s="86"/>
      <c r="B17" s="183"/>
      <c r="C17" s="184"/>
      <c r="D17" s="185"/>
      <c r="E17" s="185"/>
      <c r="F17" s="186" t="s">
        <v>212</v>
      </c>
      <c r="G17" s="186"/>
      <c r="H17" s="186"/>
      <c r="I17" s="186"/>
      <c r="J17" s="186"/>
      <c r="K17" s="186"/>
      <c r="M17" s="169" t="s">
        <v>212</v>
      </c>
    </row>
    <row r="18" spans="1:13" ht="14.25">
      <c r="A18" s="86" t="s">
        <v>134</v>
      </c>
      <c r="B18" s="183"/>
      <c r="C18" s="184"/>
      <c r="D18" s="185"/>
      <c r="E18" s="185"/>
      <c r="F18" s="186"/>
      <c r="G18" s="186" t="s">
        <v>136</v>
      </c>
      <c r="H18" s="186"/>
      <c r="I18" s="186"/>
      <c r="J18" s="186"/>
      <c r="K18" s="187"/>
      <c r="M18" s="169">
        <f t="shared" si="6"/>
        <v>0</v>
      </c>
    </row>
    <row r="19" spans="1:13" ht="14.25">
      <c r="A19" s="80" t="s">
        <v>106</v>
      </c>
      <c r="B19" s="173" t="s">
        <v>108</v>
      </c>
      <c r="C19" s="205">
        <v>10000</v>
      </c>
      <c r="D19" s="175">
        <v>7</v>
      </c>
      <c r="E19" s="175">
        <v>1</v>
      </c>
      <c r="F19" s="177">
        <f>4390+56*12</f>
        <v>5062</v>
      </c>
      <c r="G19" s="181">
        <f>C19-F19</f>
        <v>4938</v>
      </c>
      <c r="H19" s="181">
        <f>G19/E19</f>
        <v>4938</v>
      </c>
      <c r="I19" s="181">
        <f>G19/E19</f>
        <v>4938</v>
      </c>
      <c r="J19" s="181">
        <f>I19/12</f>
        <v>411.5</v>
      </c>
      <c r="K19" s="182">
        <f>J19/219</f>
        <v>1.8789954337899544</v>
      </c>
      <c r="M19" s="169">
        <f t="shared" si="6"/>
        <v>10000</v>
      </c>
    </row>
    <row r="20" spans="1:13" ht="14.25">
      <c r="A20" s="80" t="s">
        <v>106</v>
      </c>
      <c r="B20" s="173" t="s">
        <v>109</v>
      </c>
      <c r="C20" s="206">
        <v>20000</v>
      </c>
      <c r="D20" s="180">
        <v>7</v>
      </c>
      <c r="E20" s="180">
        <v>1</v>
      </c>
      <c r="F20" s="181">
        <f>10803+133*12</f>
        <v>12399</v>
      </c>
      <c r="G20" s="181">
        <f>C20-F20</f>
        <v>7601</v>
      </c>
      <c r="H20" s="181">
        <f>G20/E20</f>
        <v>7601</v>
      </c>
      <c r="I20" s="181">
        <f>G20/E20</f>
        <v>7601</v>
      </c>
      <c r="J20" s="181">
        <f>I20/12</f>
        <v>633.4166666666666</v>
      </c>
      <c r="K20" s="182">
        <f>J20/219</f>
        <v>2.8923135464231353</v>
      </c>
      <c r="M20" s="169">
        <f t="shared" si="6"/>
        <v>20000</v>
      </c>
    </row>
    <row r="21" spans="1:13" ht="14.25">
      <c r="A21" s="86"/>
      <c r="B21" s="183"/>
      <c r="C21" s="184">
        <f>SUM(C19:C20)</f>
        <v>30000</v>
      </c>
      <c r="D21" s="185"/>
      <c r="E21" s="185"/>
      <c r="F21" s="186">
        <f aca="true" t="shared" si="8" ref="F21:K21">SUM(F19:F20)</f>
        <v>17461</v>
      </c>
      <c r="G21" s="186">
        <f t="shared" si="8"/>
        <v>12539</v>
      </c>
      <c r="H21" s="186">
        <f t="shared" si="8"/>
        <v>12539</v>
      </c>
      <c r="I21" s="186">
        <f t="shared" si="8"/>
        <v>12539</v>
      </c>
      <c r="J21" s="186">
        <f t="shared" si="8"/>
        <v>1044.9166666666665</v>
      </c>
      <c r="K21" s="186">
        <f t="shared" si="8"/>
        <v>4.77130898021309</v>
      </c>
      <c r="M21" s="169">
        <f t="shared" si="6"/>
        <v>30000</v>
      </c>
    </row>
    <row r="22" spans="1:13" ht="14.25">
      <c r="A22" s="86"/>
      <c r="B22" s="183"/>
      <c r="C22" s="184"/>
      <c r="D22" s="185"/>
      <c r="E22" s="185"/>
      <c r="F22" s="186" t="s">
        <v>212</v>
      </c>
      <c r="G22" s="186"/>
      <c r="H22" s="186"/>
      <c r="I22" s="186"/>
      <c r="J22" s="186"/>
      <c r="K22" s="187"/>
      <c r="M22" s="169" t="e">
        <f t="shared" si="6"/>
        <v>#VALUE!</v>
      </c>
    </row>
    <row r="23" spans="1:13" ht="14.25">
      <c r="A23" s="86" t="s">
        <v>99</v>
      </c>
      <c r="B23" s="183"/>
      <c r="C23" s="184"/>
      <c r="D23" s="185"/>
      <c r="E23" s="185"/>
      <c r="F23" s="186"/>
      <c r="G23" s="186"/>
      <c r="H23" s="186"/>
      <c r="I23" s="186"/>
      <c r="J23" s="186"/>
      <c r="K23" s="187"/>
      <c r="M23" s="169">
        <f t="shared" si="6"/>
        <v>0</v>
      </c>
    </row>
    <row r="24" spans="1:13" ht="14.25">
      <c r="A24" s="80" t="s">
        <v>99</v>
      </c>
      <c r="B24" s="173" t="s">
        <v>114</v>
      </c>
      <c r="C24" s="174">
        <v>105016</v>
      </c>
      <c r="D24" s="175">
        <v>20</v>
      </c>
      <c r="E24" s="175">
        <v>11</v>
      </c>
      <c r="F24" s="177">
        <f>'[1]Reserve Schedule'!$F$24+'[1]Reserve Schedule'!$I$24</f>
        <v>66655.09090909091</v>
      </c>
      <c r="G24" s="177">
        <f>C24-F24</f>
        <v>38360.90909090909</v>
      </c>
      <c r="H24" s="177">
        <f>G24/E24</f>
        <v>3487.3553719008264</v>
      </c>
      <c r="I24" s="177">
        <f>G24/E24</f>
        <v>3487.3553719008264</v>
      </c>
      <c r="J24" s="177">
        <f aca="true" t="shared" si="9" ref="J24:J51">I24/12</f>
        <v>290.6129476584022</v>
      </c>
      <c r="K24" s="178">
        <f>J24/219</f>
        <v>1.3269997609972704</v>
      </c>
      <c r="M24" s="169">
        <f t="shared" si="6"/>
        <v>70142.44628099173</v>
      </c>
    </row>
    <row r="25" spans="1:13" ht="14.25">
      <c r="A25" s="80" t="s">
        <v>99</v>
      </c>
      <c r="B25" s="173" t="s">
        <v>220</v>
      </c>
      <c r="C25" s="174">
        <v>11960</v>
      </c>
      <c r="D25" s="175">
        <v>4</v>
      </c>
      <c r="E25" s="175">
        <v>0</v>
      </c>
      <c r="F25" s="177">
        <f>10794+250*12</f>
        <v>13794</v>
      </c>
      <c r="G25" s="177">
        <v>0</v>
      </c>
      <c r="H25" s="177" t="e">
        <f>G25/E25</f>
        <v>#DIV/0!</v>
      </c>
      <c r="I25" s="177">
        <v>0</v>
      </c>
      <c r="J25" s="177">
        <f t="shared" si="9"/>
        <v>0</v>
      </c>
      <c r="K25" s="178">
        <f>J25/219</f>
        <v>0</v>
      </c>
      <c r="M25" s="169">
        <f t="shared" si="6"/>
        <v>13794</v>
      </c>
    </row>
    <row r="26" spans="1:13" ht="14.25">
      <c r="A26" s="80" t="s">
        <v>99</v>
      </c>
      <c r="B26" s="173" t="s">
        <v>110</v>
      </c>
      <c r="C26" s="179">
        <v>20000</v>
      </c>
      <c r="D26" s="180">
        <v>10</v>
      </c>
      <c r="E26" s="180">
        <v>2</v>
      </c>
      <c r="F26" s="181">
        <f>'[1]Reserve Schedule'!$F$26+'[1]Reserve Schedule'!$I$26</f>
        <v>17286</v>
      </c>
      <c r="G26" s="181">
        <f>C26-F26</f>
        <v>2714</v>
      </c>
      <c r="H26" s="181">
        <f>G26/E26</f>
        <v>1357</v>
      </c>
      <c r="I26" s="181">
        <f>G26/E26</f>
        <v>1357</v>
      </c>
      <c r="J26" s="181">
        <f t="shared" si="9"/>
        <v>113.08333333333333</v>
      </c>
      <c r="K26" s="182">
        <f>J26/219</f>
        <v>0.5163622526636225</v>
      </c>
      <c r="M26" s="169">
        <f t="shared" si="6"/>
        <v>18643</v>
      </c>
    </row>
    <row r="27" spans="1:13" ht="14.25">
      <c r="A27" s="86"/>
      <c r="B27" s="183"/>
      <c r="C27" s="184">
        <f>SUM(C24:C26)</f>
        <v>136976</v>
      </c>
      <c r="D27" s="185"/>
      <c r="E27" s="185"/>
      <c r="F27" s="186">
        <f aca="true" t="shared" si="10" ref="F27:K27">SUM(F24:F26)</f>
        <v>97735.09090909091</v>
      </c>
      <c r="G27" s="186">
        <f t="shared" si="10"/>
        <v>41074.90909090909</v>
      </c>
      <c r="H27" s="186" t="e">
        <f t="shared" si="10"/>
        <v>#DIV/0!</v>
      </c>
      <c r="I27" s="186">
        <f t="shared" si="10"/>
        <v>4844.355371900827</v>
      </c>
      <c r="J27" s="186">
        <f t="shared" si="10"/>
        <v>403.69628099173553</v>
      </c>
      <c r="K27" s="186">
        <f t="shared" si="10"/>
        <v>1.8433620136608928</v>
      </c>
      <c r="M27" s="169">
        <f t="shared" si="6"/>
        <v>102579.44628099175</v>
      </c>
    </row>
    <row r="28" spans="1:13" ht="14.25">
      <c r="A28" s="86"/>
      <c r="B28" s="183"/>
      <c r="C28" s="184"/>
      <c r="D28" s="185"/>
      <c r="E28" s="185"/>
      <c r="F28" s="186">
        <f>74637+868*4</f>
        <v>78109</v>
      </c>
      <c r="G28" s="186"/>
      <c r="H28" s="186"/>
      <c r="I28" s="186"/>
      <c r="J28" s="186"/>
      <c r="K28" s="187"/>
      <c r="M28" s="169">
        <f t="shared" si="6"/>
        <v>78109</v>
      </c>
    </row>
    <row r="29" spans="1:13" ht="14.25">
      <c r="A29" s="86" t="s">
        <v>107</v>
      </c>
      <c r="B29" s="183"/>
      <c r="C29" s="184"/>
      <c r="D29" s="185"/>
      <c r="E29" s="185"/>
      <c r="F29" s="186"/>
      <c r="G29" s="186"/>
      <c r="H29" s="186"/>
      <c r="I29" s="186"/>
      <c r="J29" s="186"/>
      <c r="K29" s="187"/>
      <c r="M29" s="169">
        <f t="shared" si="6"/>
        <v>0</v>
      </c>
    </row>
    <row r="30" spans="1:13" ht="14.25">
      <c r="A30" s="80" t="s">
        <v>107</v>
      </c>
      <c r="B30" s="173" t="s">
        <v>111</v>
      </c>
      <c r="C30" s="174">
        <v>60000</v>
      </c>
      <c r="D30" s="175">
        <v>15</v>
      </c>
      <c r="E30" s="175">
        <v>15</v>
      </c>
      <c r="F30" s="177">
        <f>'[1]Reserve Schedule'!$F$30+'[1]Reserve Schedule'!$I$30-17480-1170-29720</f>
        <v>-31329.777777777777</v>
      </c>
      <c r="G30" s="177">
        <f>C30-F30</f>
        <v>91329.77777777778</v>
      </c>
      <c r="H30" s="177">
        <f>G30/E30</f>
        <v>6088.651851851852</v>
      </c>
      <c r="I30" s="177">
        <f>G30/E30</f>
        <v>6088.651851851852</v>
      </c>
      <c r="J30" s="177">
        <f t="shared" si="9"/>
        <v>507.3876543209877</v>
      </c>
      <c r="K30" s="178">
        <f aca="true" t="shared" si="11" ref="K30:K35">J30/219</f>
        <v>2.316838604205423</v>
      </c>
      <c r="M30" s="169">
        <f t="shared" si="6"/>
        <v>-25241.125925925924</v>
      </c>
    </row>
    <row r="31" spans="1:13" ht="14.25">
      <c r="A31" s="80" t="s">
        <v>107</v>
      </c>
      <c r="B31" s="173" t="s">
        <v>112</v>
      </c>
      <c r="C31" s="174">
        <v>20000</v>
      </c>
      <c r="D31" s="175">
        <v>12</v>
      </c>
      <c r="E31" s="175">
        <v>0</v>
      </c>
      <c r="F31" s="177">
        <f>7690+1705+5302-8888+14191</f>
        <v>20000</v>
      </c>
      <c r="G31" s="177">
        <f>C31-F31</f>
        <v>0</v>
      </c>
      <c r="H31" s="177" t="e">
        <f>G31/E31</f>
        <v>#DIV/0!</v>
      </c>
      <c r="I31" s="177">
        <v>0</v>
      </c>
      <c r="J31" s="177">
        <f t="shared" si="9"/>
        <v>0</v>
      </c>
      <c r="K31" s="178">
        <f t="shared" si="11"/>
        <v>0</v>
      </c>
      <c r="M31" s="169">
        <f t="shared" si="6"/>
        <v>20000</v>
      </c>
    </row>
    <row r="32" spans="1:13" ht="14.25">
      <c r="A32" s="80" t="s">
        <v>107</v>
      </c>
      <c r="B32" s="173" t="s">
        <v>216</v>
      </c>
      <c r="C32" s="174">
        <v>11403</v>
      </c>
      <c r="D32" s="175">
        <v>10</v>
      </c>
      <c r="E32" s="175">
        <v>0</v>
      </c>
      <c r="F32" s="177">
        <f>8322+1061+2022</f>
        <v>11405</v>
      </c>
      <c r="G32" s="177">
        <f>C32-F32</f>
        <v>-2</v>
      </c>
      <c r="H32" s="177" t="e">
        <f>G32/E32</f>
        <v>#DIV/0!</v>
      </c>
      <c r="I32" s="177">
        <v>0</v>
      </c>
      <c r="J32" s="177">
        <f t="shared" si="9"/>
        <v>0</v>
      </c>
      <c r="K32" s="178">
        <f t="shared" si="11"/>
        <v>0</v>
      </c>
      <c r="M32" s="169">
        <f t="shared" si="6"/>
        <v>11405</v>
      </c>
    </row>
    <row r="33" spans="1:13" ht="14.25">
      <c r="A33" s="80" t="s">
        <v>107</v>
      </c>
      <c r="B33" s="173" t="s">
        <v>113</v>
      </c>
      <c r="C33" s="174">
        <v>45000</v>
      </c>
      <c r="D33" s="175">
        <v>12</v>
      </c>
      <c r="E33" s="175">
        <v>1</v>
      </c>
      <c r="F33" s="177">
        <f>'[1]Reserve Schedule'!$F$33+'[1]Reserve Schedule'!$I$33</f>
        <v>45000</v>
      </c>
      <c r="G33" s="177">
        <f>C33-F33</f>
        <v>0</v>
      </c>
      <c r="H33" s="177">
        <v>10000</v>
      </c>
      <c r="I33" s="177">
        <f>G33/E33</f>
        <v>0</v>
      </c>
      <c r="J33" s="177">
        <f t="shared" si="9"/>
        <v>0</v>
      </c>
      <c r="K33" s="178">
        <f t="shared" si="11"/>
        <v>0</v>
      </c>
      <c r="L33" s="171"/>
      <c r="M33" s="169">
        <f t="shared" si="6"/>
        <v>45000</v>
      </c>
    </row>
    <row r="34" spans="1:13" ht="14.25">
      <c r="A34" s="80" t="s">
        <v>107</v>
      </c>
      <c r="B34" s="173" t="s">
        <v>115</v>
      </c>
      <c r="C34" s="174">
        <v>25031</v>
      </c>
      <c r="D34" s="175">
        <v>24</v>
      </c>
      <c r="E34" s="175">
        <v>9</v>
      </c>
      <c r="F34" s="177">
        <f>'[1]Reserve Schedule'!$F$34+'[1]Reserve Schedule'!$I$34</f>
        <v>10589.222222222223</v>
      </c>
      <c r="G34" s="177">
        <f>C34-F34</f>
        <v>14441.777777777777</v>
      </c>
      <c r="H34" s="177">
        <f>G34/E34</f>
        <v>1604.641975308642</v>
      </c>
      <c r="I34" s="177">
        <f>G34/E34</f>
        <v>1604.641975308642</v>
      </c>
      <c r="J34" s="177">
        <f t="shared" si="9"/>
        <v>133.7201646090535</v>
      </c>
      <c r="K34" s="178">
        <f t="shared" si="11"/>
        <v>0.6105943589454498</v>
      </c>
      <c r="M34" s="169">
        <f t="shared" si="6"/>
        <v>12193.864197530864</v>
      </c>
    </row>
    <row r="35" spans="1:13" ht="14.25">
      <c r="A35" s="80" t="s">
        <v>107</v>
      </c>
      <c r="B35" s="173" t="s">
        <v>116</v>
      </c>
      <c r="C35" s="179">
        <v>12000</v>
      </c>
      <c r="D35" s="180">
        <v>12</v>
      </c>
      <c r="E35" s="180">
        <v>0</v>
      </c>
      <c r="F35" s="181">
        <f>12029</f>
        <v>12029</v>
      </c>
      <c r="G35" s="181">
        <v>0</v>
      </c>
      <c r="H35" s="181" t="e">
        <f>G35/E35</f>
        <v>#DIV/0!</v>
      </c>
      <c r="I35" s="181">
        <v>0</v>
      </c>
      <c r="J35" s="181">
        <f t="shared" si="9"/>
        <v>0</v>
      </c>
      <c r="K35" s="182">
        <f t="shared" si="11"/>
        <v>0</v>
      </c>
      <c r="M35" s="169">
        <f t="shared" si="6"/>
        <v>12029</v>
      </c>
    </row>
    <row r="36" spans="1:13" ht="14.25">
      <c r="A36" s="86"/>
      <c r="B36" s="183"/>
      <c r="C36" s="184">
        <f>SUM(C30:C35)</f>
        <v>173434</v>
      </c>
      <c r="D36" s="185"/>
      <c r="E36" s="185"/>
      <c r="F36" s="186">
        <f aca="true" t="shared" si="12" ref="F36:K36">SUM(F30:F35)</f>
        <v>67693.44444444444</v>
      </c>
      <c r="G36" s="186">
        <f t="shared" si="12"/>
        <v>105769.55555555556</v>
      </c>
      <c r="H36" s="186" t="e">
        <f t="shared" si="12"/>
        <v>#DIV/0!</v>
      </c>
      <c r="I36" s="186">
        <f t="shared" si="12"/>
        <v>7693.293827160494</v>
      </c>
      <c r="J36" s="186">
        <f t="shared" si="12"/>
        <v>641.1078189300412</v>
      </c>
      <c r="K36" s="186">
        <f t="shared" si="12"/>
        <v>2.927432963150873</v>
      </c>
      <c r="M36" s="169">
        <f t="shared" si="6"/>
        <v>75386.73827160493</v>
      </c>
    </row>
    <row r="37" spans="1:13" ht="14.25">
      <c r="A37" s="86"/>
      <c r="B37" s="183"/>
      <c r="C37" s="184"/>
      <c r="D37" s="185"/>
      <c r="E37" s="185"/>
      <c r="F37" s="186" t="s">
        <v>212</v>
      </c>
      <c r="G37" s="186"/>
      <c r="H37" s="186"/>
      <c r="I37" s="186"/>
      <c r="J37" s="186"/>
      <c r="K37" s="187"/>
      <c r="M37" s="169" t="e">
        <f t="shared" si="6"/>
        <v>#VALUE!</v>
      </c>
    </row>
    <row r="38" spans="1:13" ht="14.25">
      <c r="A38" s="86" t="s">
        <v>124</v>
      </c>
      <c r="B38" s="183"/>
      <c r="C38" s="184"/>
      <c r="D38" s="185"/>
      <c r="E38" s="185"/>
      <c r="F38" s="186"/>
      <c r="G38" s="186"/>
      <c r="H38" s="186"/>
      <c r="I38" s="186"/>
      <c r="J38" s="186"/>
      <c r="K38" s="187"/>
      <c r="M38" s="169">
        <f t="shared" si="6"/>
        <v>0</v>
      </c>
    </row>
    <row r="39" spans="1:13" ht="14.25">
      <c r="A39" s="87" t="s">
        <v>124</v>
      </c>
      <c r="B39" s="188" t="s">
        <v>135</v>
      </c>
      <c r="C39" s="174">
        <v>33880</v>
      </c>
      <c r="D39" s="189">
        <v>25</v>
      </c>
      <c r="E39" s="189">
        <v>10</v>
      </c>
      <c r="F39" s="177">
        <f>'[1]Reserve Schedule'!$F$39+'[1]Reserve Schedule'!$I$39</f>
        <v>32488.6</v>
      </c>
      <c r="G39" s="177">
        <f>C39-F39</f>
        <v>1391.4000000000015</v>
      </c>
      <c r="H39" s="177">
        <f>G39/E39</f>
        <v>139.14000000000016</v>
      </c>
      <c r="I39" s="177">
        <f>G39/E39</f>
        <v>139.14000000000016</v>
      </c>
      <c r="J39" s="177">
        <f t="shared" si="9"/>
        <v>11.595000000000013</v>
      </c>
      <c r="K39" s="178">
        <f>J39/219</f>
        <v>0.05294520547945211</v>
      </c>
      <c r="M39" s="169">
        <f t="shared" si="6"/>
        <v>32627.739999999998</v>
      </c>
    </row>
    <row r="40" spans="1:13" ht="14.25">
      <c r="A40" s="80" t="s">
        <v>124</v>
      </c>
      <c r="B40" s="173" t="s">
        <v>117</v>
      </c>
      <c r="C40" s="179">
        <v>3872</v>
      </c>
      <c r="D40" s="190">
        <v>25</v>
      </c>
      <c r="E40" s="190">
        <v>10</v>
      </c>
      <c r="F40" s="181">
        <f>'[1]Reserve Schedule'!$F$40+'[1]Reserve Schedule'!$I$40</f>
        <v>2705.2219999999998</v>
      </c>
      <c r="G40" s="181">
        <f>C40-F40</f>
        <v>1166.7780000000002</v>
      </c>
      <c r="H40" s="181">
        <f>G40/E40</f>
        <v>116.67780000000002</v>
      </c>
      <c r="I40" s="181">
        <f>G40/E40</f>
        <v>116.67780000000002</v>
      </c>
      <c r="J40" s="181">
        <f t="shared" si="9"/>
        <v>9.723150000000002</v>
      </c>
      <c r="K40" s="182">
        <f>J40/219</f>
        <v>0.04439794520547946</v>
      </c>
      <c r="M40" s="169">
        <f t="shared" si="6"/>
        <v>2821.8997999999997</v>
      </c>
    </row>
    <row r="41" spans="1:13" ht="14.25">
      <c r="A41" s="86"/>
      <c r="B41" s="183"/>
      <c r="C41" s="184">
        <f>SUM(C39:C40)</f>
        <v>37752</v>
      </c>
      <c r="D41" s="185">
        <v>25</v>
      </c>
      <c r="E41" s="185"/>
      <c r="F41" s="186">
        <f aca="true" t="shared" si="13" ref="F41:K41">SUM(F39:F40)</f>
        <v>35193.822</v>
      </c>
      <c r="G41" s="186">
        <f t="shared" si="13"/>
        <v>2558.1780000000017</v>
      </c>
      <c r="H41" s="186">
        <f t="shared" si="13"/>
        <v>255.81780000000018</v>
      </c>
      <c r="I41" s="186">
        <f t="shared" si="13"/>
        <v>255.81780000000018</v>
      </c>
      <c r="J41" s="186">
        <f t="shared" si="13"/>
        <v>21.318150000000017</v>
      </c>
      <c r="K41" s="186">
        <f t="shared" si="13"/>
        <v>0.09734315068493157</v>
      </c>
      <c r="M41" s="169">
        <f t="shared" si="6"/>
        <v>35449.6398</v>
      </c>
    </row>
    <row r="42" spans="1:13" ht="14.25">
      <c r="A42" s="86"/>
      <c r="B42" s="183"/>
      <c r="C42" s="184"/>
      <c r="D42" s="185"/>
      <c r="E42" s="185"/>
      <c r="F42" s="186" t="s">
        <v>212</v>
      </c>
      <c r="G42" s="186"/>
      <c r="H42" s="186"/>
      <c r="I42" s="186"/>
      <c r="J42" s="186"/>
      <c r="K42" s="187"/>
      <c r="M42" s="169" t="e">
        <f t="shared" si="6"/>
        <v>#VALUE!</v>
      </c>
    </row>
    <row r="43" spans="1:13" ht="14.25">
      <c r="A43" s="86" t="s">
        <v>125</v>
      </c>
      <c r="B43" s="183"/>
      <c r="C43" s="184"/>
      <c r="D43" s="185"/>
      <c r="E43" s="185"/>
      <c r="F43" s="186" t="s">
        <v>212</v>
      </c>
      <c r="G43" s="186"/>
      <c r="H43" s="186"/>
      <c r="I43" s="186"/>
      <c r="J43" s="186"/>
      <c r="K43" s="187"/>
      <c r="M43" s="169" t="e">
        <f t="shared" si="6"/>
        <v>#VALUE!</v>
      </c>
    </row>
    <row r="44" spans="1:13" ht="14.25">
      <c r="A44" s="80" t="s">
        <v>125</v>
      </c>
      <c r="B44" s="173" t="s">
        <v>118</v>
      </c>
      <c r="C44" s="174">
        <v>12095</v>
      </c>
      <c r="D44" s="175">
        <v>15</v>
      </c>
      <c r="E44" s="175">
        <v>6</v>
      </c>
      <c r="F44" s="177">
        <f>'[1]Reserve Schedule'!$F$44+'[1]Reserve Schedule'!$I$44</f>
        <v>6083.333333333333</v>
      </c>
      <c r="G44" s="177">
        <f aca="true" t="shared" si="14" ref="G44:G51">C44-F44</f>
        <v>6011.666666666667</v>
      </c>
      <c r="H44" s="177">
        <f aca="true" t="shared" si="15" ref="H44:H51">G44/E44</f>
        <v>1001.9444444444445</v>
      </c>
      <c r="I44" s="177">
        <f aca="true" t="shared" si="16" ref="I44:I49">G44/E44</f>
        <v>1001.9444444444445</v>
      </c>
      <c r="J44" s="177">
        <f t="shared" si="9"/>
        <v>83.49537037037037</v>
      </c>
      <c r="K44" s="178">
        <f aca="true" t="shared" si="17" ref="K44:K51">J44/219</f>
        <v>0.3812573989514629</v>
      </c>
      <c r="M44" s="169">
        <f t="shared" si="6"/>
        <v>7085.277777777777</v>
      </c>
    </row>
    <row r="45" spans="1:13" ht="14.25">
      <c r="A45" s="80" t="s">
        <v>125</v>
      </c>
      <c r="B45" s="173" t="s">
        <v>119</v>
      </c>
      <c r="C45" s="174">
        <v>73168</v>
      </c>
      <c r="D45" s="175">
        <v>27</v>
      </c>
      <c r="E45" s="175">
        <v>12</v>
      </c>
      <c r="F45" s="177">
        <f>'[1]Reserve Schedule'!$F$45+'[1]Reserve Schedule'!$I$45</f>
        <v>26106.333333333332</v>
      </c>
      <c r="G45" s="177">
        <f t="shared" si="14"/>
        <v>47061.66666666667</v>
      </c>
      <c r="H45" s="177">
        <f t="shared" si="15"/>
        <v>3921.805555555556</v>
      </c>
      <c r="I45" s="177">
        <f t="shared" si="16"/>
        <v>3921.805555555556</v>
      </c>
      <c r="J45" s="177">
        <f t="shared" si="9"/>
        <v>326.8171296296297</v>
      </c>
      <c r="K45" s="178">
        <f t="shared" si="17"/>
        <v>1.492315660409268</v>
      </c>
      <c r="M45" s="169">
        <f t="shared" si="6"/>
        <v>30028.138888888887</v>
      </c>
    </row>
    <row r="46" spans="1:13" ht="14.25">
      <c r="A46" s="80" t="s">
        <v>125</v>
      </c>
      <c r="B46" s="173" t="s">
        <v>120</v>
      </c>
      <c r="C46" s="174">
        <v>17680</v>
      </c>
      <c r="D46" s="175">
        <v>14</v>
      </c>
      <c r="E46" s="191">
        <v>1</v>
      </c>
      <c r="F46" s="177">
        <f>'[1]Reserve Schedule'!$F$46+'[1]Reserve Schedule'!$I$46</f>
        <v>17680</v>
      </c>
      <c r="G46" s="177">
        <f t="shared" si="14"/>
        <v>0</v>
      </c>
      <c r="H46" s="177">
        <f t="shared" si="15"/>
        <v>0</v>
      </c>
      <c r="I46" s="177">
        <f t="shared" si="16"/>
        <v>0</v>
      </c>
      <c r="J46" s="177">
        <f t="shared" si="9"/>
        <v>0</v>
      </c>
      <c r="K46" s="178">
        <f t="shared" si="17"/>
        <v>0</v>
      </c>
      <c r="M46" s="169">
        <f t="shared" si="6"/>
        <v>17680</v>
      </c>
    </row>
    <row r="47" spans="1:13" ht="14.25">
      <c r="A47" s="80" t="s">
        <v>125</v>
      </c>
      <c r="B47" s="173" t="s">
        <v>121</v>
      </c>
      <c r="C47" s="174">
        <v>10938</v>
      </c>
      <c r="D47" s="175">
        <v>14</v>
      </c>
      <c r="E47" s="192">
        <v>14</v>
      </c>
      <c r="F47" s="177">
        <f>'[1]Reserve Schedule'!$F$47+'[1]Reserve Schedule'!$I$47-8413</f>
        <v>2525</v>
      </c>
      <c r="G47" s="177">
        <f t="shared" si="14"/>
        <v>8413</v>
      </c>
      <c r="H47" s="177">
        <f t="shared" si="15"/>
        <v>600.9285714285714</v>
      </c>
      <c r="I47" s="177">
        <f t="shared" si="16"/>
        <v>600.9285714285714</v>
      </c>
      <c r="J47" s="177">
        <f t="shared" si="9"/>
        <v>50.077380952380956</v>
      </c>
      <c r="K47" s="178">
        <f t="shared" si="17"/>
        <v>0.22866383996520984</v>
      </c>
      <c r="M47" s="169">
        <f t="shared" si="6"/>
        <v>3125.9285714285716</v>
      </c>
    </row>
    <row r="48" spans="1:13" ht="14.25">
      <c r="A48" s="80" t="s">
        <v>125</v>
      </c>
      <c r="B48" s="173" t="s">
        <v>122</v>
      </c>
      <c r="C48" s="174">
        <v>7935</v>
      </c>
      <c r="D48" s="175">
        <v>15</v>
      </c>
      <c r="E48" s="175">
        <v>10</v>
      </c>
      <c r="F48" s="177">
        <f>'[1]Reserve Schedule'!$F$48+'[1]Reserve Schedule'!$I$48</f>
        <v>3282</v>
      </c>
      <c r="G48" s="177">
        <f t="shared" si="14"/>
        <v>4653</v>
      </c>
      <c r="H48" s="177">
        <f t="shared" si="15"/>
        <v>465.3</v>
      </c>
      <c r="I48" s="177">
        <f t="shared" si="16"/>
        <v>465.3</v>
      </c>
      <c r="J48" s="177">
        <f t="shared" si="9"/>
        <v>38.775</v>
      </c>
      <c r="K48" s="178">
        <f t="shared" si="17"/>
        <v>0.17705479452054793</v>
      </c>
      <c r="M48" s="169">
        <f t="shared" si="6"/>
        <v>3747.3</v>
      </c>
    </row>
    <row r="49" spans="1:13" ht="14.25">
      <c r="A49" s="80" t="s">
        <v>125</v>
      </c>
      <c r="B49" s="173" t="s">
        <v>123</v>
      </c>
      <c r="C49" s="174">
        <v>37505</v>
      </c>
      <c r="D49" s="175">
        <v>24</v>
      </c>
      <c r="E49" s="175">
        <v>9</v>
      </c>
      <c r="F49" s="177">
        <f>'[1]Reserve Schedule'!$F$49+'[1]Reserve Schedule'!$I$49</f>
        <v>14128.111111111111</v>
      </c>
      <c r="G49" s="177">
        <f t="shared" si="14"/>
        <v>23376.88888888889</v>
      </c>
      <c r="H49" s="177">
        <f t="shared" si="15"/>
        <v>2597.4320987654323</v>
      </c>
      <c r="I49" s="177">
        <f t="shared" si="16"/>
        <v>2597.4320987654323</v>
      </c>
      <c r="J49" s="177">
        <f t="shared" si="9"/>
        <v>216.45267489711935</v>
      </c>
      <c r="K49" s="178">
        <f t="shared" si="17"/>
        <v>0.9883683785256592</v>
      </c>
      <c r="M49" s="169">
        <f t="shared" si="6"/>
        <v>16725.543209876545</v>
      </c>
    </row>
    <row r="50" spans="1:13" ht="14.25">
      <c r="A50" s="80" t="s">
        <v>125</v>
      </c>
      <c r="B50" s="173" t="s">
        <v>217</v>
      </c>
      <c r="C50" s="174">
        <v>5850</v>
      </c>
      <c r="D50" s="175">
        <v>15</v>
      </c>
      <c r="E50" s="175">
        <v>0</v>
      </c>
      <c r="F50" s="177">
        <f>1418+399+2016+2017</f>
        <v>5850</v>
      </c>
      <c r="G50" s="177">
        <f t="shared" si="14"/>
        <v>0</v>
      </c>
      <c r="H50" s="177" t="e">
        <f t="shared" si="15"/>
        <v>#DIV/0!</v>
      </c>
      <c r="I50" s="177">
        <v>0</v>
      </c>
      <c r="J50" s="177">
        <f t="shared" si="9"/>
        <v>0</v>
      </c>
      <c r="K50" s="178">
        <f t="shared" si="17"/>
        <v>0</v>
      </c>
      <c r="M50" s="169">
        <f t="shared" si="6"/>
        <v>5850</v>
      </c>
    </row>
    <row r="51" spans="1:13" ht="14.25">
      <c r="A51" s="80" t="s">
        <v>125</v>
      </c>
      <c r="B51" s="173" t="s">
        <v>126</v>
      </c>
      <c r="C51" s="179">
        <v>15164</v>
      </c>
      <c r="D51" s="180">
        <v>20</v>
      </c>
      <c r="E51" s="193">
        <v>11</v>
      </c>
      <c r="F51" s="181">
        <f>'[1]Reserve Schedule'!$F$51+'[1]Reserve Schedule'!$I$51</f>
        <v>19770.363636363636</v>
      </c>
      <c r="G51" s="181">
        <f t="shared" si="14"/>
        <v>-4606.363636363636</v>
      </c>
      <c r="H51" s="181">
        <f t="shared" si="15"/>
        <v>-418.76033057851237</v>
      </c>
      <c r="I51" s="181">
        <f>G51/E51+5000</f>
        <v>4581.239669421488</v>
      </c>
      <c r="J51" s="181">
        <f t="shared" si="9"/>
        <v>381.76997245179064</v>
      </c>
      <c r="K51" s="182">
        <f t="shared" si="17"/>
        <v>1.7432418833415098</v>
      </c>
      <c r="M51" s="169">
        <f t="shared" si="6"/>
        <v>24351.603305785124</v>
      </c>
    </row>
    <row r="52" spans="1:13" ht="14.25">
      <c r="A52" s="86"/>
      <c r="B52" s="183"/>
      <c r="C52" s="184">
        <f>SUM(C44:C51)</f>
        <v>180335</v>
      </c>
      <c r="D52" s="185"/>
      <c r="E52" s="185"/>
      <c r="F52" s="186">
        <f aca="true" t="shared" si="18" ref="F52:K52">SUM(F44:F51)</f>
        <v>95425.14141414141</v>
      </c>
      <c r="G52" s="186">
        <f t="shared" si="18"/>
        <v>84909.8585858586</v>
      </c>
      <c r="H52" s="186" t="e">
        <f t="shared" si="18"/>
        <v>#DIV/0!</v>
      </c>
      <c r="I52" s="186">
        <f t="shared" si="18"/>
        <v>13168.650339615493</v>
      </c>
      <c r="J52" s="186">
        <f t="shared" si="18"/>
        <v>1097.387528301291</v>
      </c>
      <c r="K52" s="186">
        <f t="shared" si="18"/>
        <v>5.010901955713658</v>
      </c>
      <c r="M52" s="169">
        <f t="shared" si="6"/>
        <v>108593.7917537569</v>
      </c>
    </row>
    <row r="53" spans="1:13" ht="14.25">
      <c r="A53" s="86"/>
      <c r="B53" s="183"/>
      <c r="C53" s="184"/>
      <c r="D53" s="185"/>
      <c r="E53" s="185"/>
      <c r="F53" s="186" t="s">
        <v>212</v>
      </c>
      <c r="G53" s="186"/>
      <c r="H53" s="186"/>
      <c r="I53" s="186"/>
      <c r="J53" s="186"/>
      <c r="K53" s="187"/>
      <c r="M53" s="169" t="e">
        <f t="shared" si="6"/>
        <v>#VALUE!</v>
      </c>
    </row>
    <row r="54" spans="1:13" ht="14.25">
      <c r="A54" s="86"/>
      <c r="B54" s="183" t="s">
        <v>198</v>
      </c>
      <c r="C54" s="186">
        <f>C16+C21+C27+C36+C41+C52</f>
        <v>705035</v>
      </c>
      <c r="D54" s="185"/>
      <c r="E54" s="185"/>
      <c r="F54" s="186">
        <f aca="true" t="shared" si="19" ref="F54:K54">F16+F21+F27+F36+F41+F52</f>
        <v>422349.5259874433</v>
      </c>
      <c r="G54" s="186">
        <f t="shared" si="19"/>
        <v>284548.5073751498</v>
      </c>
      <c r="H54" s="186" t="e">
        <f t="shared" si="19"/>
        <v>#DIV/0!</v>
      </c>
      <c r="I54" s="186">
        <f t="shared" si="19"/>
        <v>46149.34572615483</v>
      </c>
      <c r="J54" s="186">
        <f t="shared" si="19"/>
        <v>3845.778810512902</v>
      </c>
      <c r="K54" s="186">
        <f t="shared" si="19"/>
        <v>17.560633837958456</v>
      </c>
      <c r="M54" s="169">
        <f t="shared" si="6"/>
        <v>468498.87171359814</v>
      </c>
    </row>
    <row r="55" spans="2:13" ht="14.25">
      <c r="B55" s="173"/>
      <c r="C55" s="174"/>
      <c r="D55" s="175"/>
      <c r="E55" s="175"/>
      <c r="F55" s="177"/>
      <c r="G55" s="177"/>
      <c r="H55" s="177"/>
      <c r="I55" s="177"/>
      <c r="J55" s="177"/>
      <c r="K55" s="173"/>
      <c r="M55" s="169">
        <f t="shared" si="6"/>
        <v>0</v>
      </c>
    </row>
    <row r="56" spans="1:13" ht="14.25">
      <c r="A56" s="86" t="s">
        <v>199</v>
      </c>
      <c r="B56" s="173"/>
      <c r="C56" s="174"/>
      <c r="D56" s="175"/>
      <c r="E56" s="175"/>
      <c r="F56" s="177"/>
      <c r="G56" s="177"/>
      <c r="H56" s="177"/>
      <c r="I56" s="177"/>
      <c r="J56" s="177"/>
      <c r="K56" s="173"/>
      <c r="M56" s="169">
        <f t="shared" si="6"/>
        <v>0</v>
      </c>
    </row>
    <row r="57" spans="1:13" ht="14.25">
      <c r="A57" s="87" t="s">
        <v>66</v>
      </c>
      <c r="B57" s="188"/>
      <c r="C57" s="204">
        <v>220000</v>
      </c>
      <c r="D57" s="189">
        <v>7</v>
      </c>
      <c r="E57" s="189">
        <v>1</v>
      </c>
      <c r="F57" s="177">
        <f>123637+1715*4+29503</f>
        <v>160000</v>
      </c>
      <c r="G57" s="177">
        <f>C57-F57</f>
        <v>60000</v>
      </c>
      <c r="H57" s="177">
        <f>G57/E57</f>
        <v>60000</v>
      </c>
      <c r="I57" s="177">
        <f>G57/E57</f>
        <v>60000</v>
      </c>
      <c r="J57" s="177">
        <f>I57/12</f>
        <v>5000</v>
      </c>
      <c r="K57" s="178">
        <f>J57/131</f>
        <v>38.16793893129771</v>
      </c>
      <c r="M57" s="169">
        <v>220000</v>
      </c>
    </row>
    <row r="58" spans="1:13" ht="14.25">
      <c r="A58" s="87" t="s">
        <v>61</v>
      </c>
      <c r="B58" s="188"/>
      <c r="C58" s="194">
        <v>27498</v>
      </c>
      <c r="D58" s="189">
        <v>5</v>
      </c>
      <c r="E58" s="189">
        <v>3</v>
      </c>
      <c r="F58" s="177">
        <f>'[1]Reserve Schedule'!$F$58+'[1]Reserve Schedule'!$I$58</f>
        <v>20241.333333333332</v>
      </c>
      <c r="G58" s="177">
        <f>C58-F58</f>
        <v>7256.666666666668</v>
      </c>
      <c r="H58" s="177">
        <f>G58/E58</f>
        <v>2418.888888888889</v>
      </c>
      <c r="I58" s="177">
        <f>G58/E58</f>
        <v>2418.888888888889</v>
      </c>
      <c r="J58" s="177">
        <f>I58/12</f>
        <v>201.5740740740741</v>
      </c>
      <c r="K58" s="178">
        <f>J58/131</f>
        <v>1.5387333898784283</v>
      </c>
      <c r="M58" s="169">
        <f t="shared" si="6"/>
        <v>22660.222222222223</v>
      </c>
    </row>
    <row r="59" spans="1:13" ht="14.25">
      <c r="A59" s="87" t="s">
        <v>214</v>
      </c>
      <c r="B59" s="188"/>
      <c r="C59" s="194">
        <v>0</v>
      </c>
      <c r="D59" s="189">
        <v>0</v>
      </c>
      <c r="E59" s="189">
        <v>0</v>
      </c>
      <c r="F59" s="177">
        <v>0</v>
      </c>
      <c r="G59" s="177">
        <v>0</v>
      </c>
      <c r="H59" s="177" t="e">
        <f>G59/E59</f>
        <v>#DIV/0!</v>
      </c>
      <c r="I59" s="177" t="s">
        <v>215</v>
      </c>
      <c r="J59" s="177"/>
      <c r="K59" s="178"/>
      <c r="M59" s="169" t="e">
        <f t="shared" si="6"/>
        <v>#VALUE!</v>
      </c>
    </row>
    <row r="60" spans="1:13" ht="14.25">
      <c r="A60" s="87" t="s">
        <v>64</v>
      </c>
      <c r="B60" s="188"/>
      <c r="C60" s="195">
        <v>1585760</v>
      </c>
      <c r="D60" s="196">
        <v>25</v>
      </c>
      <c r="E60" s="196">
        <v>9</v>
      </c>
      <c r="F60" s="181">
        <f>'[1]Reserve Schedule'!$F$60+'[1]Reserve Schedule'!$I$60-2194</f>
        <v>940570.48</v>
      </c>
      <c r="G60" s="181">
        <f>C60-F60</f>
        <v>645189.52</v>
      </c>
      <c r="H60" s="181">
        <f>G60/E60</f>
        <v>71687.72444444445</v>
      </c>
      <c r="I60" s="181">
        <f>G60/E60+60000+17040.48-1572</f>
        <v>147156.20444444448</v>
      </c>
      <c r="J60" s="181">
        <f>I60/12</f>
        <v>12263.01703703704</v>
      </c>
      <c r="K60" s="182">
        <f>J60/131</f>
        <v>93.61081707661863</v>
      </c>
      <c r="M60" s="169">
        <f t="shared" si="6"/>
        <v>1087726.6844444445</v>
      </c>
    </row>
    <row r="61" spans="2:13" ht="14.25">
      <c r="B61" s="183" t="s">
        <v>127</v>
      </c>
      <c r="C61" s="186">
        <f>SUM(C57:C60)</f>
        <v>1833258</v>
      </c>
      <c r="D61" s="175"/>
      <c r="E61" s="175"/>
      <c r="F61" s="186">
        <f aca="true" t="shared" si="20" ref="F61:K61">SUM(F57:F60)</f>
        <v>1120811.8133333332</v>
      </c>
      <c r="G61" s="186">
        <f t="shared" si="20"/>
        <v>712446.1866666666</v>
      </c>
      <c r="H61" s="186" t="e">
        <f t="shared" si="20"/>
        <v>#DIV/0!</v>
      </c>
      <c r="I61" s="186">
        <f t="shared" si="20"/>
        <v>209575.09333333338</v>
      </c>
      <c r="J61" s="186">
        <f t="shared" si="20"/>
        <v>17464.591111111113</v>
      </c>
      <c r="K61" s="186">
        <f t="shared" si="20"/>
        <v>133.31748939779476</v>
      </c>
      <c r="M61" s="169">
        <f t="shared" si="6"/>
        <v>1330386.9066666667</v>
      </c>
    </row>
    <row r="62" spans="2:13" ht="14.25">
      <c r="B62" s="173"/>
      <c r="C62" s="174"/>
      <c r="D62" s="175"/>
      <c r="E62" s="175"/>
      <c r="F62" s="177"/>
      <c r="G62" s="177"/>
      <c r="H62" s="177"/>
      <c r="I62" s="177"/>
      <c r="J62" s="177"/>
      <c r="K62" s="197"/>
      <c r="M62" s="169">
        <f t="shared" si="6"/>
        <v>0</v>
      </c>
    </row>
    <row r="63" spans="1:13" ht="14.25">
      <c r="A63" s="86" t="s">
        <v>200</v>
      </c>
      <c r="B63" s="173"/>
      <c r="C63" s="174"/>
      <c r="D63" s="175"/>
      <c r="E63" s="175"/>
      <c r="F63" s="177"/>
      <c r="G63" s="177"/>
      <c r="H63" s="177"/>
      <c r="I63" s="177"/>
      <c r="J63" s="177"/>
      <c r="K63" s="197"/>
      <c r="M63" s="169">
        <f t="shared" si="6"/>
        <v>0</v>
      </c>
    </row>
    <row r="64" spans="1:13" ht="14.25">
      <c r="A64" s="87" t="s">
        <v>65</v>
      </c>
      <c r="B64" s="188"/>
      <c r="C64" s="204">
        <v>115000</v>
      </c>
      <c r="D64" s="189">
        <v>7</v>
      </c>
      <c r="E64" s="189">
        <v>1</v>
      </c>
      <c r="F64" s="177">
        <f>96669-6669</f>
        <v>90000</v>
      </c>
      <c r="G64" s="177">
        <f>C64-F64</f>
        <v>25000</v>
      </c>
      <c r="H64" s="177">
        <f>G64/E64</f>
        <v>25000</v>
      </c>
      <c r="I64" s="177">
        <f>G64/E64</f>
        <v>25000</v>
      </c>
      <c r="J64" s="177">
        <f>I64/12</f>
        <v>2083.3333333333335</v>
      </c>
      <c r="K64" s="178">
        <f>J64/88</f>
        <v>23.674242424242426</v>
      </c>
      <c r="M64" s="169">
        <f t="shared" si="6"/>
        <v>115000</v>
      </c>
    </row>
    <row r="65" spans="1:13" ht="14.25">
      <c r="A65" s="202" t="s">
        <v>236</v>
      </c>
      <c r="B65" s="188"/>
      <c r="C65" s="194">
        <v>1302694</v>
      </c>
      <c r="D65" s="189"/>
      <c r="E65" s="189"/>
      <c r="F65" s="177">
        <f>1302694-255.12</f>
        <v>1302438.88</v>
      </c>
      <c r="G65" s="177">
        <v>0</v>
      </c>
      <c r="H65" s="177"/>
      <c r="I65" s="177">
        <v>0</v>
      </c>
      <c r="J65" s="177">
        <v>0</v>
      </c>
      <c r="K65" s="178">
        <v>0</v>
      </c>
      <c r="M65" s="169"/>
    </row>
    <row r="66" spans="1:13" ht="14.25">
      <c r="A66" s="87" t="s">
        <v>62</v>
      </c>
      <c r="B66" s="188"/>
      <c r="C66" s="194">
        <v>18503</v>
      </c>
      <c r="D66" s="189">
        <v>5</v>
      </c>
      <c r="E66" s="189">
        <v>3</v>
      </c>
      <c r="F66" s="177">
        <v>18503</v>
      </c>
      <c r="G66" s="177">
        <f>C66-F66</f>
        <v>0</v>
      </c>
      <c r="H66" s="177">
        <f>G66/E66</f>
        <v>0</v>
      </c>
      <c r="I66" s="177">
        <v>0</v>
      </c>
      <c r="J66" s="177">
        <f>I66/12</f>
        <v>0</v>
      </c>
      <c r="K66" s="178">
        <f>J66/88</f>
        <v>0</v>
      </c>
      <c r="M66" s="169">
        <f t="shared" si="6"/>
        <v>18503</v>
      </c>
    </row>
    <row r="67" spans="1:13" ht="14.25">
      <c r="A67" s="87" t="s">
        <v>63</v>
      </c>
      <c r="B67" s="188"/>
      <c r="C67" s="195">
        <v>1023440</v>
      </c>
      <c r="D67" s="196">
        <v>25</v>
      </c>
      <c r="E67" s="196">
        <v>16</v>
      </c>
      <c r="F67" s="181">
        <f>'[1]Reserve Schedule'!$F$66+'[1]Reserve Schedule'!$I$66</f>
        <v>339155</v>
      </c>
      <c r="G67" s="181">
        <f>C67-F67</f>
        <v>684285</v>
      </c>
      <c r="H67" s="181">
        <f>G67/E67</f>
        <v>42767.8125</v>
      </c>
      <c r="I67" s="181">
        <f>G67/E67</f>
        <v>42767.8125</v>
      </c>
      <c r="J67" s="181">
        <f>I67/12</f>
        <v>3563.984375</v>
      </c>
      <c r="K67" s="182">
        <f>J67/88</f>
        <v>40.49982244318182</v>
      </c>
      <c r="M67" s="169">
        <f t="shared" si="6"/>
        <v>381922.8125</v>
      </c>
    </row>
    <row r="68" spans="2:13" ht="14.25">
      <c r="B68" s="183" t="s">
        <v>197</v>
      </c>
      <c r="C68" s="174">
        <f>SUM(C64:C67)</f>
        <v>2459637</v>
      </c>
      <c r="D68" s="175"/>
      <c r="E68" s="175"/>
      <c r="F68" s="186">
        <f aca="true" t="shared" si="21" ref="F68:K68">SUM(F64:F67)</f>
        <v>1750096.88</v>
      </c>
      <c r="G68" s="186">
        <f t="shared" si="21"/>
        <v>709285</v>
      </c>
      <c r="H68" s="186">
        <f t="shared" si="21"/>
        <v>67767.8125</v>
      </c>
      <c r="I68" s="186">
        <f t="shared" si="21"/>
        <v>67767.8125</v>
      </c>
      <c r="J68" s="186">
        <f t="shared" si="21"/>
        <v>5647.317708333334</v>
      </c>
      <c r="K68" s="186">
        <f t="shared" si="21"/>
        <v>64.17406486742425</v>
      </c>
      <c r="M68" s="169">
        <f t="shared" si="6"/>
        <v>1817864.6925</v>
      </c>
    </row>
    <row r="69" spans="2:11" ht="14.25">
      <c r="B69" s="173"/>
      <c r="C69" s="174"/>
      <c r="D69" s="175"/>
      <c r="E69" s="175"/>
      <c r="F69" s="177"/>
      <c r="G69" s="177"/>
      <c r="H69" s="177"/>
      <c r="I69" s="177"/>
      <c r="J69" s="177"/>
      <c r="K69" s="197"/>
    </row>
    <row r="70" spans="1:11" ht="14.25">
      <c r="A70" s="86" t="s">
        <v>201</v>
      </c>
      <c r="B70" s="173"/>
      <c r="C70" s="184">
        <f>C54+C61+C68</f>
        <v>4997930</v>
      </c>
      <c r="D70" s="175"/>
      <c r="E70" s="175"/>
      <c r="F70" s="184">
        <f>F54+F61+F68</f>
        <v>3293258.2193207764</v>
      </c>
      <c r="G70" s="184">
        <f>G54+G61+G68</f>
        <v>1706279.6940418165</v>
      </c>
      <c r="H70" s="184" t="e">
        <f>H54+H61+H68</f>
        <v>#DIV/0!</v>
      </c>
      <c r="I70" s="184">
        <f>I54+I61+I68</f>
        <v>323492.25155948824</v>
      </c>
      <c r="J70" s="177"/>
      <c r="K70" s="197"/>
    </row>
    <row r="71" spans="2:11" ht="14.25">
      <c r="B71" s="173"/>
      <c r="C71" s="174"/>
      <c r="D71" s="175"/>
      <c r="E71" s="175"/>
      <c r="F71" s="177"/>
      <c r="G71" s="177"/>
      <c r="H71" s="177"/>
      <c r="I71" s="177"/>
      <c r="J71" s="177"/>
      <c r="K71" s="197"/>
    </row>
    <row r="72" spans="1:11" ht="14.25">
      <c r="A72" s="87" t="s">
        <v>194</v>
      </c>
      <c r="B72" s="173"/>
      <c r="C72" s="174"/>
      <c r="D72" s="175"/>
      <c r="E72" s="175"/>
      <c r="F72" s="177">
        <v>22914</v>
      </c>
      <c r="G72" s="177">
        <v>0</v>
      </c>
      <c r="H72" s="177"/>
      <c r="I72" s="177">
        <v>0</v>
      </c>
      <c r="J72" s="177">
        <v>0</v>
      </c>
      <c r="K72" s="197"/>
    </row>
    <row r="73" spans="2:11" ht="14.25">
      <c r="B73" s="173"/>
      <c r="C73" s="174"/>
      <c r="D73" s="175"/>
      <c r="E73" s="175"/>
      <c r="F73" s="177"/>
      <c r="G73" s="177"/>
      <c r="H73" s="177"/>
      <c r="I73" s="177"/>
      <c r="J73" s="177"/>
      <c r="K73" s="197"/>
    </row>
    <row r="74" spans="1:11" ht="14.25">
      <c r="A74" s="86" t="s">
        <v>209</v>
      </c>
      <c r="B74" s="173"/>
      <c r="C74" s="184">
        <f>SUM(C70:C72)</f>
        <v>4997930</v>
      </c>
      <c r="D74" s="185"/>
      <c r="E74" s="185"/>
      <c r="F74" s="184">
        <f>SUM(F70:F72)</f>
        <v>3316172.2193207764</v>
      </c>
      <c r="G74" s="184">
        <f>SUM(G70:G72)</f>
        <v>1706279.6940418165</v>
      </c>
      <c r="H74" s="184"/>
      <c r="I74" s="184">
        <f>SUM(I70:I72)</f>
        <v>323492.25155948824</v>
      </c>
      <c r="J74" s="174"/>
      <c r="K74" s="174"/>
    </row>
    <row r="75" spans="2:11" ht="14.25">
      <c r="B75" s="173"/>
      <c r="C75" s="174"/>
      <c r="D75" s="175"/>
      <c r="E75" s="175"/>
      <c r="F75" s="177"/>
      <c r="G75" s="177"/>
      <c r="H75" s="177"/>
      <c r="I75" s="177"/>
      <c r="J75" s="177"/>
      <c r="K75" s="197"/>
    </row>
    <row r="76" spans="2:11" ht="14.25">
      <c r="B76" s="173"/>
      <c r="C76" s="174"/>
      <c r="D76" s="175"/>
      <c r="E76" s="175"/>
      <c r="F76" s="177"/>
      <c r="G76" s="177"/>
      <c r="H76" s="177"/>
      <c r="I76" s="177"/>
      <c r="J76" s="177"/>
      <c r="K76" s="197"/>
    </row>
    <row r="77" spans="1:11" ht="14.25">
      <c r="A77" s="86" t="s">
        <v>199</v>
      </c>
      <c r="B77" s="173"/>
      <c r="C77" s="174"/>
      <c r="D77" s="175"/>
      <c r="E77" s="175"/>
      <c r="F77" s="177"/>
      <c r="G77" s="177"/>
      <c r="H77" s="177"/>
      <c r="I77" s="177"/>
      <c r="J77" s="177"/>
      <c r="K77" s="197"/>
    </row>
    <row r="78" spans="1:11" ht="14.25">
      <c r="A78" s="80" t="s">
        <v>202</v>
      </c>
      <c r="B78" s="173"/>
      <c r="C78" s="174"/>
      <c r="D78" s="175"/>
      <c r="E78" s="175"/>
      <c r="F78" s="177"/>
      <c r="G78" s="177"/>
      <c r="H78" s="177" t="e">
        <f>H54</f>
        <v>#DIV/0!</v>
      </c>
      <c r="I78" s="177">
        <f>I54</f>
        <v>46149.34572615483</v>
      </c>
      <c r="J78" s="177">
        <f>I78/12</f>
        <v>3845.7788105129025</v>
      </c>
      <c r="K78" s="197">
        <f>J78/219</f>
        <v>17.56063383795846</v>
      </c>
    </row>
    <row r="79" spans="1:11" ht="14.25">
      <c r="A79" s="80" t="s">
        <v>203</v>
      </c>
      <c r="B79" s="173"/>
      <c r="C79" s="179"/>
      <c r="D79" s="180"/>
      <c r="E79" s="180"/>
      <c r="F79" s="181"/>
      <c r="G79" s="181"/>
      <c r="H79" s="181" t="e">
        <f>H61</f>
        <v>#DIV/0!</v>
      </c>
      <c r="I79" s="181">
        <f>I61</f>
        <v>209575.09333333338</v>
      </c>
      <c r="J79" s="181">
        <f>I79/12</f>
        <v>17464.591111111116</v>
      </c>
      <c r="K79" s="198">
        <f>J79/131</f>
        <v>133.3174893977948</v>
      </c>
    </row>
    <row r="80" spans="2:11" ht="14.25">
      <c r="B80" s="173"/>
      <c r="C80" s="174"/>
      <c r="D80" s="175"/>
      <c r="E80" s="175"/>
      <c r="F80" s="177"/>
      <c r="G80" s="177"/>
      <c r="H80" s="177"/>
      <c r="I80" s="177">
        <f>SUM(I78:I79)</f>
        <v>255724.4390594882</v>
      </c>
      <c r="J80" s="177">
        <f>SUM(J78:J79)</f>
        <v>21310.36992162402</v>
      </c>
      <c r="K80" s="177">
        <f>SUM(K78:K79)</f>
        <v>150.87812323575324</v>
      </c>
    </row>
    <row r="81" spans="2:11" ht="14.25">
      <c r="B81" s="173"/>
      <c r="C81" s="174"/>
      <c r="D81" s="175"/>
      <c r="E81" s="175"/>
      <c r="F81" s="177"/>
      <c r="G81" s="177"/>
      <c r="H81" s="177"/>
      <c r="I81" s="177"/>
      <c r="J81" s="177"/>
      <c r="K81" s="197"/>
    </row>
    <row r="82" spans="1:11" ht="14.25">
      <c r="A82" s="86" t="s">
        <v>200</v>
      </c>
      <c r="B82" s="173"/>
      <c r="C82" s="174"/>
      <c r="D82" s="175"/>
      <c r="E82" s="175"/>
      <c r="F82" s="177"/>
      <c r="G82" s="177"/>
      <c r="H82" s="177"/>
      <c r="I82" s="177"/>
      <c r="J82" s="177"/>
      <c r="K82" s="197"/>
    </row>
    <row r="83" spans="1:11" ht="14.25">
      <c r="A83" s="80" t="s">
        <v>202</v>
      </c>
      <c r="B83" s="173"/>
      <c r="C83" s="174"/>
      <c r="D83" s="175"/>
      <c r="E83" s="175"/>
      <c r="F83" s="177"/>
      <c r="G83" s="177"/>
      <c r="H83" s="177" t="e">
        <f>H54</f>
        <v>#DIV/0!</v>
      </c>
      <c r="I83" s="177">
        <f>I54</f>
        <v>46149.34572615483</v>
      </c>
      <c r="J83" s="177">
        <f>I83/12</f>
        <v>3845.7788105129025</v>
      </c>
      <c r="K83" s="197">
        <f>J83/219</f>
        <v>17.56063383795846</v>
      </c>
    </row>
    <row r="84" spans="1:11" ht="14.25">
      <c r="A84" s="80" t="s">
        <v>204</v>
      </c>
      <c r="B84" s="173"/>
      <c r="C84" s="179"/>
      <c r="D84" s="180"/>
      <c r="E84" s="180"/>
      <c r="F84" s="181"/>
      <c r="G84" s="181"/>
      <c r="H84" s="181">
        <f>H68</f>
        <v>67767.8125</v>
      </c>
      <c r="I84" s="181">
        <f>I68</f>
        <v>67767.8125</v>
      </c>
      <c r="J84" s="181">
        <f>I84/12</f>
        <v>5647.317708333333</v>
      </c>
      <c r="K84" s="198">
        <f>J84/88</f>
        <v>64.17406486742424</v>
      </c>
    </row>
    <row r="85" spans="8:11" ht="14.25">
      <c r="H85" s="158"/>
      <c r="I85" s="82">
        <f>SUM(I83:I84)</f>
        <v>113917.15822615483</v>
      </c>
      <c r="J85" s="82">
        <f>SUM(J83:J84)</f>
        <v>9493.096518846236</v>
      </c>
      <c r="K85" s="82">
        <f>SUM(K83:K84)</f>
        <v>81.7346987053827</v>
      </c>
    </row>
    <row r="86" ht="14.25">
      <c r="K86" s="85"/>
    </row>
    <row r="87" ht="14.25">
      <c r="K87" s="85"/>
    </row>
    <row r="88" ht="14.25">
      <c r="K88" s="85"/>
    </row>
    <row r="89" ht="14.25">
      <c r="K89" s="85"/>
    </row>
    <row r="90" spans="1:11" ht="14.25">
      <c r="A90" s="132"/>
      <c r="B90" s="132"/>
      <c r="C90" s="133"/>
      <c r="D90" s="134"/>
      <c r="E90" s="134"/>
      <c r="F90" s="136"/>
      <c r="G90" s="136"/>
      <c r="H90" s="136"/>
      <c r="I90" s="135"/>
      <c r="J90" s="135"/>
      <c r="K90" s="137"/>
    </row>
    <row r="91" spans="1:11" ht="14.25">
      <c r="A91" s="132"/>
      <c r="B91" s="132"/>
      <c r="C91" s="133"/>
      <c r="D91" s="134"/>
      <c r="E91" s="134"/>
      <c r="F91" s="136"/>
      <c r="G91" s="136"/>
      <c r="H91" s="136"/>
      <c r="I91" s="135"/>
      <c r="J91" s="135"/>
      <c r="K91" s="137"/>
    </row>
    <row r="92" spans="1:11" ht="14.25">
      <c r="A92" s="138"/>
      <c r="B92" s="138"/>
      <c r="C92" s="139"/>
      <c r="D92" s="140"/>
      <c r="E92" s="140"/>
      <c r="F92" s="136"/>
      <c r="G92" s="136"/>
      <c r="H92" s="136"/>
      <c r="I92" s="136"/>
      <c r="J92" s="136"/>
      <c r="K92" s="138"/>
    </row>
    <row r="93" spans="1:11" ht="14.25">
      <c r="A93" s="132"/>
      <c r="B93" s="132"/>
      <c r="C93" s="133"/>
      <c r="D93" s="134"/>
      <c r="E93" s="134"/>
      <c r="F93" s="135"/>
      <c r="G93" s="135"/>
      <c r="H93" s="135"/>
      <c r="I93" s="135"/>
      <c r="J93" s="135"/>
      <c r="K93" s="132"/>
    </row>
    <row r="94" spans="1:11" ht="14.25">
      <c r="A94" s="138"/>
      <c r="B94" s="138"/>
      <c r="C94" s="139"/>
      <c r="D94" s="140"/>
      <c r="E94" s="140"/>
      <c r="F94" s="136"/>
      <c r="G94" s="136"/>
      <c r="H94" s="136"/>
      <c r="I94" s="136"/>
      <c r="J94" s="136"/>
      <c r="K94" s="138"/>
    </row>
    <row r="95" spans="1:11" ht="14.25">
      <c r="A95" s="138"/>
      <c r="B95" s="138"/>
      <c r="C95" s="139"/>
      <c r="D95" s="140"/>
      <c r="E95" s="140"/>
      <c r="F95" s="135"/>
      <c r="G95" s="135"/>
      <c r="H95" s="135"/>
      <c r="I95" s="135"/>
      <c r="J95" s="136"/>
      <c r="K95" s="138"/>
    </row>
    <row r="96" spans="1:11" ht="14.25">
      <c r="A96" s="138"/>
      <c r="B96" s="138"/>
      <c r="C96" s="139"/>
      <c r="D96" s="140"/>
      <c r="E96" s="140"/>
      <c r="F96" s="136"/>
      <c r="G96" s="136"/>
      <c r="H96" s="136"/>
      <c r="I96" s="136"/>
      <c r="J96" s="136"/>
      <c r="K96" s="138"/>
    </row>
    <row r="97" spans="1:11" ht="14.25">
      <c r="A97" s="138"/>
      <c r="B97" s="138"/>
      <c r="C97" s="139"/>
      <c r="D97" s="140"/>
      <c r="E97" s="140"/>
      <c r="F97" s="136"/>
      <c r="G97" s="136"/>
      <c r="H97" s="136"/>
      <c r="I97" s="136"/>
      <c r="J97" s="136"/>
      <c r="K97" s="138"/>
    </row>
  </sheetData>
  <sheetProtection/>
  <printOptions gridLines="1"/>
  <pageMargins left="0.7" right="0.7" top="0.5" bottom="0.5" header="0.3" footer="0.3"/>
  <pageSetup fitToHeight="2" fitToWidth="1" horizontalDpi="600" verticalDpi="600" orientation="landscape" scale="66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dlanghout</dc:creator>
  <cp:keywords/>
  <dc:description/>
  <cp:lastModifiedBy>Sunvast</cp:lastModifiedBy>
  <cp:lastPrinted>2020-11-17T19:15:36Z</cp:lastPrinted>
  <dcterms:created xsi:type="dcterms:W3CDTF">2011-10-27T13:37:02Z</dcterms:created>
  <dcterms:modified xsi:type="dcterms:W3CDTF">2022-12-07T12:30:52Z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